
<file path=[Content_Types].xml><?xml version="1.0" encoding="utf-8"?>
<Types xmlns="http://schemas.openxmlformats.org/package/2006/content-types">
  <Override PartName="/xl/embeddings/oleObject8.bin" ContentType="application/vnd.openxmlformats-officedocument.oleObject"/>
  <Override PartName="/xl/embeddings/oleObject43.bin" ContentType="application/vnd.openxmlformats-officedocument.oleObject"/>
  <Override PartName="/xl/embeddings/oleObject90.bin" ContentType="application/vnd.openxmlformats-officedocument.oleObject"/>
  <Override PartName="/xl/embeddings/oleObject131.bin" ContentType="application/vnd.openxmlformats-officedocument.oleObject"/>
  <Override PartName="/xl/embeddings/oleObject142.bin" ContentType="application/vnd.openxmlformats-officedocument.oleObject"/>
  <Override PartName="/xl/embeddings/oleObject229.bin" ContentType="application/vnd.openxmlformats-officedocument.oleObject"/>
  <Override PartName="/xl/embeddings/oleObject276.bin" ContentType="application/vnd.openxmlformats-officedocument.oleObject"/>
  <Override PartName="/xl/styles.xml" ContentType="application/vnd.openxmlformats-officedocument.spreadsheetml.styles+xml"/>
  <Override PartName="/xl/embeddings/oleObject21.bin" ContentType="application/vnd.openxmlformats-officedocument.oleObject"/>
  <Override PartName="/xl/embeddings/oleObject32.bin" ContentType="application/vnd.openxmlformats-officedocument.oleObject"/>
  <Override PartName="/xl/embeddings/oleObject120.bin" ContentType="application/vnd.openxmlformats-officedocument.oleObject"/>
  <Override PartName="/xl/embeddings/oleObject218.bin" ContentType="application/vnd.openxmlformats-officedocument.oleObject"/>
  <Override PartName="/xl/embeddings/oleObject265.bin" ContentType="application/vnd.openxmlformats-officedocument.oleObject"/>
  <Override PartName="/xl/embeddings/oleObject10.bin" ContentType="application/vnd.openxmlformats-officedocument.oleObject"/>
  <Override PartName="/xl/embeddings/oleObject207.bin" ContentType="application/vnd.openxmlformats-officedocument.oleObject"/>
  <Override PartName="/xl/embeddings/oleObject243.bin" ContentType="application/vnd.openxmlformats-officedocument.oleObject"/>
  <Override PartName="/xl/embeddings/oleObject254.bin" ContentType="application/vnd.openxmlformats-officedocument.oleObject"/>
  <Override PartName="/xl/embeddings/oleObject290.bin" ContentType="application/vnd.openxmlformats-officedocument.oleObject"/>
  <Default Extension="xml" ContentType="application/xml"/>
  <Override PartName="/xl/embeddings/oleObject232.bin" ContentType="application/vnd.openxmlformats-officedocument.oleObject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embeddings/oleObject169.bin" ContentType="application/vnd.openxmlformats-officedocument.oleObject"/>
  <Override PartName="/xl/embeddings/oleObject221.bin" ContentType="application/vnd.openxmlformats-officedocument.oleObject"/>
  <Override PartName="/xl/embeddings/oleObject308.bin" ContentType="application/vnd.openxmlformats-officedocument.oleObject"/>
  <Override PartName="/xl/embeddings/oleObject319.bin" ContentType="application/vnd.openxmlformats-officedocument.oleObject"/>
  <Override PartName="/xl/embeddings/oleObject48.bin" ContentType="application/vnd.openxmlformats-officedocument.oleObject"/>
  <Override PartName="/xl/embeddings/oleObject59.bin" ContentType="application/vnd.openxmlformats-officedocument.oleObject"/>
  <Override PartName="/xl/embeddings/oleObject95.bin" ContentType="application/vnd.openxmlformats-officedocument.oleObject"/>
  <Override PartName="/xl/embeddings/oleObject147.bin" ContentType="application/vnd.openxmlformats-officedocument.oleObject"/>
  <Override PartName="/xl/embeddings/oleObject158.bin" ContentType="application/vnd.openxmlformats-officedocument.oleObject"/>
  <Override PartName="/xl/embeddings/oleObject194.bin" ContentType="application/vnd.openxmlformats-officedocument.oleObject"/>
  <Override PartName="/xl/embeddings/oleObject210.bin" ContentType="application/vnd.openxmlformats-officedocument.oleObject"/>
  <Override PartName="/xl/embeddings/oleObject37.bin" ContentType="application/vnd.openxmlformats-officedocument.oleObject"/>
  <Override PartName="/xl/embeddings/oleObject84.bin" ContentType="application/vnd.openxmlformats-officedocument.oleObject"/>
  <Override PartName="/xl/embeddings/oleObject136.bin" ContentType="application/vnd.openxmlformats-officedocument.oleObject"/>
  <Override PartName="/xl/embeddings/oleObject183.bin" ContentType="application/vnd.openxmlformats-officedocument.oleObject"/>
  <Override PartName="/xl/embeddings/oleObject26.bin" ContentType="application/vnd.openxmlformats-officedocument.oleObject"/>
  <Override PartName="/xl/embeddings/oleObject73.bin" ContentType="application/vnd.openxmlformats-officedocument.oleObject"/>
  <Override PartName="/xl/embeddings/oleObject125.bin" ContentType="application/vnd.openxmlformats-officedocument.oleObject"/>
  <Override PartName="/xl/embeddings/oleObject172.bin" ContentType="application/vnd.openxmlformats-officedocument.oleObject"/>
  <Override PartName="/xl/embeddings/oleObject259.bin" ContentType="application/vnd.openxmlformats-officedocument.oleObject"/>
  <Override PartName="/xl/embeddings/oleObject311.bin" ContentType="application/vnd.openxmlformats-officedocument.oleObject"/>
  <Override PartName="/xl/embeddings/oleObject15.bin" ContentType="application/vnd.openxmlformats-officedocument.oleObject"/>
  <Override PartName="/xl/embeddings/oleObject62.bin" ContentType="application/vnd.openxmlformats-officedocument.oleObject"/>
  <Override PartName="/xl/embeddings/oleObject103.bin" ContentType="application/vnd.openxmlformats-officedocument.oleObject"/>
  <Override PartName="/xl/embeddings/oleObject114.bin" ContentType="application/vnd.openxmlformats-officedocument.oleObject"/>
  <Override PartName="/xl/embeddings/oleObject150.bin" ContentType="application/vnd.openxmlformats-officedocument.oleObject"/>
  <Override PartName="/xl/embeddings/oleObject161.bin" ContentType="application/vnd.openxmlformats-officedocument.oleObject"/>
  <Override PartName="/xl/embeddings/oleObject248.bin" ContentType="application/vnd.openxmlformats-officedocument.oleObject"/>
  <Default Extension="png" ContentType="image/png"/>
  <Override PartName="/xl/embeddings/oleObject295.bin" ContentType="application/vnd.openxmlformats-officedocument.oleObject"/>
  <Override PartName="/xl/embeddings/oleObject300.bin" ContentType="application/vnd.openxmlformats-officedocument.oleObject"/>
  <Override PartName="/xl/embeddings/oleObject5.bin" ContentType="application/vnd.openxmlformats-officedocument.oleObject"/>
  <Override PartName="/xl/embeddings/oleObject40.bin" ContentType="application/vnd.openxmlformats-officedocument.oleObject"/>
  <Override PartName="/xl/embeddings/oleObject51.bin" ContentType="application/vnd.openxmlformats-officedocument.oleObject"/>
  <Override PartName="/xl/embeddings/oleObject237.bin" ContentType="application/vnd.openxmlformats-officedocument.oleObject"/>
  <Override PartName="/xl/embeddings/oleObject284.bin" ContentType="application/vnd.openxmlformats-officedocument.oleObject"/>
  <Override PartName="/xl/embeddings/oleObject215.bin" ContentType="application/vnd.openxmlformats-officedocument.oleObject"/>
  <Override PartName="/xl/embeddings/oleObject226.bin" ContentType="application/vnd.openxmlformats-officedocument.oleObject"/>
  <Override PartName="/xl/embeddings/oleObject262.bin" ContentType="application/vnd.openxmlformats-officedocument.oleObject"/>
  <Default Extension="emf" ContentType="image/x-emf"/>
  <Override PartName="/xl/embeddings/oleObject273.bin" ContentType="application/vnd.openxmlformats-officedocument.oleObject"/>
  <Override PartName="/xl/embeddings/oleObject199.bin" ContentType="application/vnd.openxmlformats-officedocument.oleObject"/>
  <Override PartName="/xl/embeddings/oleObject204.bin" ContentType="application/vnd.openxmlformats-officedocument.oleObject"/>
  <Override PartName="/xl/embeddings/oleObject251.bin" ContentType="application/vnd.openxmlformats-officedocument.oleObject"/>
  <Override PartName="/docProps/app.xml" ContentType="application/vnd.openxmlformats-officedocument.extended-properties+xml"/>
  <Override PartName="/xl/embeddings/oleObject89.bin" ContentType="application/vnd.openxmlformats-officedocument.oleObject"/>
  <Override PartName="/xl/embeddings/oleObject177.bin" ContentType="application/vnd.openxmlformats-officedocument.oleObject"/>
  <Override PartName="/xl/embeddings/oleObject188.bin" ContentType="application/vnd.openxmlformats-officedocument.oleObject"/>
  <Override PartName="/xl/embeddings/oleObject240.bin" ContentType="application/vnd.openxmlformats-officedocument.oleObject"/>
  <Override PartName="/xl/embeddings/oleObject67.bin" ContentType="application/vnd.openxmlformats-officedocument.oleObject"/>
  <Override PartName="/xl/embeddings/oleObject78.bin" ContentType="application/vnd.openxmlformats-officedocument.oleObject"/>
  <Override PartName="/xl/embeddings/oleObject119.bin" ContentType="application/vnd.openxmlformats-officedocument.oleObject"/>
  <Override PartName="/xl/embeddings/oleObject166.bin" ContentType="application/vnd.openxmlformats-officedocument.oleObject"/>
  <Override PartName="/xl/embeddings/oleObject316.bin" ContentType="application/vnd.openxmlformats-officedocument.oleObject"/>
  <Override PartName="/xl/calcChain.xml" ContentType="application/vnd.openxmlformats-officedocument.spreadsheetml.calcChain+xml"/>
  <Override PartName="/xl/embeddings/oleObject56.bin" ContentType="application/vnd.openxmlformats-officedocument.oleObject"/>
  <Override PartName="/xl/embeddings/oleObject108.bin" ContentType="application/vnd.openxmlformats-officedocument.oleObject"/>
  <Override PartName="/xl/embeddings/oleObject155.bin" ContentType="application/vnd.openxmlformats-officedocument.oleObject"/>
  <Override PartName="/xl/embeddings/oleObject289.bin" ContentType="application/vnd.openxmlformats-officedocument.oleObject"/>
  <Override PartName="/xl/embeddings/oleObject305.bin" ContentType="application/vnd.openxmlformats-officedocument.oleObject"/>
  <Override PartName="/xl/embeddings/oleObject45.bin" ContentType="application/vnd.openxmlformats-officedocument.oleObject"/>
  <Override PartName="/xl/embeddings/oleObject92.bin" ContentType="application/vnd.openxmlformats-officedocument.oleObject"/>
  <Override PartName="/xl/embeddings/oleObject133.bin" ContentType="application/vnd.openxmlformats-officedocument.oleObject"/>
  <Override PartName="/xl/embeddings/oleObject144.bin" ContentType="application/vnd.openxmlformats-officedocument.oleObject"/>
  <Override PartName="/xl/embeddings/oleObject180.bin" ContentType="application/vnd.openxmlformats-officedocument.oleObject"/>
  <Override PartName="/xl/embeddings/oleObject191.bin" ContentType="application/vnd.openxmlformats-officedocument.oleObject"/>
  <Override PartName="/xl/embeddings/oleObject278.bin" ContentType="application/vnd.openxmlformats-officedocument.oleObject"/>
  <Override PartName="/xl/embeddings/oleObject23.bin" ContentType="application/vnd.openxmlformats-officedocument.oleObject"/>
  <Override PartName="/xl/embeddings/oleObject34.bin" ContentType="application/vnd.openxmlformats-officedocument.oleObject"/>
  <Override PartName="/xl/embeddings/oleObject70.bin" ContentType="application/vnd.openxmlformats-officedocument.oleObject"/>
  <Override PartName="/xl/embeddings/oleObject81.bin" ContentType="application/vnd.openxmlformats-officedocument.oleObject"/>
  <Override PartName="/xl/embeddings/oleObject122.bin" ContentType="application/vnd.openxmlformats-officedocument.oleObject"/>
  <Override PartName="/xl/embeddings/oleObject267.bin" ContentType="application/vnd.openxmlformats-officedocument.oleObject"/>
  <Override PartName="/xl/embeddings/oleObject12.bin" ContentType="application/vnd.openxmlformats-officedocument.oleObject"/>
  <Override PartName="/xl/embeddings/oleObject111.bin" ContentType="application/vnd.openxmlformats-officedocument.oleObject"/>
  <Override PartName="/xl/embeddings/oleObject209.bin" ContentType="application/vnd.openxmlformats-officedocument.oleObject"/>
  <Override PartName="/xl/embeddings/oleObject245.bin" ContentType="application/vnd.openxmlformats-officedocument.oleObject"/>
  <Override PartName="/xl/embeddings/oleObject256.bin" ContentType="application/vnd.openxmlformats-officedocument.oleObject"/>
  <Override PartName="/xl/embeddings/oleObject292.bin" ContentType="application/vnd.openxmlformats-officedocument.oleObject"/>
  <Override PartName="/xl/embeddings/oleObject100.bin" ContentType="application/vnd.openxmlformats-officedocument.oleObject"/>
  <Override PartName="/xl/embeddings/oleObject234.bin" ContentType="application/vnd.openxmlformats-officedocument.oleObject"/>
  <Override PartName="/xl/embeddings/oleObject281.bin" ContentType="application/vnd.openxmlformats-officedocument.oleObject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embeddings/oleObject2.bin" ContentType="application/vnd.openxmlformats-officedocument.oleObject"/>
  <Override PartName="/xl/embeddings/oleObject223.bin" ContentType="application/vnd.openxmlformats-officedocument.oleObject"/>
  <Override PartName="/xl/embeddings/oleObject270.bin" ContentType="application/vnd.openxmlformats-officedocument.oleObject"/>
  <Override PartName="/xl/embeddings/oleObject149.bin" ContentType="application/vnd.openxmlformats-officedocument.oleObject"/>
  <Override PartName="/xl/embeddings/oleObject196.bin" ContentType="application/vnd.openxmlformats-officedocument.oleObject"/>
  <Override PartName="/xl/embeddings/oleObject201.bin" ContentType="application/vnd.openxmlformats-officedocument.oleObject"/>
  <Override PartName="/xl/embeddings/oleObject212.bin" ContentType="application/vnd.openxmlformats-officedocument.oleObject"/>
  <Override PartName="/xl/embeddings/oleObject39.bin" ContentType="application/vnd.openxmlformats-officedocument.oleObject"/>
  <Override PartName="/xl/embeddings/oleObject86.bin" ContentType="application/vnd.openxmlformats-officedocument.oleObject"/>
  <Override PartName="/xl/embeddings/oleObject97.bin" ContentType="application/vnd.openxmlformats-officedocument.oleObject"/>
  <Override PartName="/xl/embeddings/oleObject138.bin" ContentType="application/vnd.openxmlformats-officedocument.oleObject"/>
  <Override PartName="/xl/embeddings/oleObject185.bin" ContentType="application/vnd.openxmlformats-officedocument.oleObject"/>
  <Override PartName="/xl/embeddings/oleObject28.bin" ContentType="application/vnd.openxmlformats-officedocument.oleObject"/>
  <Override PartName="/xl/embeddings/oleObject75.bin" ContentType="application/vnd.openxmlformats-officedocument.oleObject"/>
  <Override PartName="/xl/embeddings/oleObject127.bin" ContentType="application/vnd.openxmlformats-officedocument.oleObject"/>
  <Override PartName="/xl/embeddings/oleObject174.bin" ContentType="application/vnd.openxmlformats-officedocument.oleObject"/>
  <Override PartName="/xl/embeddings/oleObject313.bin" ContentType="application/vnd.openxmlformats-officedocument.oleObject"/>
  <Override PartName="/xl/embeddings/oleObject17.bin" ContentType="application/vnd.openxmlformats-officedocument.oleObject"/>
  <Override PartName="/xl/embeddings/oleObject64.bin" ContentType="application/vnd.openxmlformats-officedocument.oleObject"/>
  <Override PartName="/xl/embeddings/oleObject105.bin" ContentType="application/vnd.openxmlformats-officedocument.oleObject"/>
  <Override PartName="/xl/embeddings/oleObject116.bin" ContentType="application/vnd.openxmlformats-officedocument.oleObject"/>
  <Override PartName="/xl/embeddings/oleObject152.bin" ContentType="application/vnd.openxmlformats-officedocument.oleObject"/>
  <Override PartName="/xl/embeddings/oleObject163.bin" ContentType="application/vnd.openxmlformats-officedocument.oleObject"/>
  <Override PartName="/xl/embeddings/oleObject297.bin" ContentType="application/vnd.openxmlformats-officedocument.oleObject"/>
  <Override PartName="/xl/embeddings/oleObject302.bin" ContentType="application/vnd.openxmlformats-officedocument.oleObject"/>
  <Override PartName="/xl/embeddings/oleObject7.bin" ContentType="application/vnd.openxmlformats-officedocument.oleObject"/>
  <Override PartName="/xl/embeddings/oleObject42.bin" ContentType="application/vnd.openxmlformats-officedocument.oleObject"/>
  <Override PartName="/xl/embeddings/oleObject53.bin" ContentType="application/vnd.openxmlformats-officedocument.oleObject"/>
  <Override PartName="/xl/embeddings/oleObject141.bin" ContentType="application/vnd.openxmlformats-officedocument.oleObject"/>
  <Override PartName="/xl/embeddings/oleObject239.bin" ContentType="application/vnd.openxmlformats-officedocument.oleObject"/>
  <Override PartName="/xl/embeddings/oleObject286.bin" ContentType="application/vnd.openxmlformats-officedocument.oleObject"/>
  <Override PartName="/xl/embeddings/oleObject31.bin" ContentType="application/vnd.openxmlformats-officedocument.oleObject"/>
  <Override PartName="/xl/embeddings/oleObject130.bin" ContentType="application/vnd.openxmlformats-officedocument.oleObject"/>
  <Override PartName="/xl/embeddings/oleObject217.bin" ContentType="application/vnd.openxmlformats-officedocument.oleObject"/>
  <Override PartName="/xl/embeddings/oleObject228.bin" ContentType="application/vnd.openxmlformats-officedocument.oleObject"/>
  <Override PartName="/xl/embeddings/oleObject264.bin" ContentType="application/vnd.openxmlformats-officedocument.oleObject"/>
  <Override PartName="/xl/embeddings/oleObject275.bin" ContentType="application/vnd.openxmlformats-officedocument.oleObject"/>
  <Override PartName="/xl/embeddings/oleObject3.bin" ContentType="application/vnd.openxmlformats-officedocument.oleObject"/>
  <Override PartName="/xl/embeddings/oleObject20.bin" ContentType="application/vnd.openxmlformats-officedocument.oleObject"/>
  <Override PartName="/xl/embeddings/oleObject206.bin" ContentType="application/vnd.openxmlformats-officedocument.oleObject"/>
  <Override PartName="/xl/embeddings/oleObject224.bin" ContentType="application/vnd.openxmlformats-officedocument.oleObject"/>
  <Override PartName="/xl/embeddings/oleObject235.bin" ContentType="application/vnd.openxmlformats-officedocument.oleObject"/>
  <Override PartName="/xl/embeddings/oleObject253.bin" ContentType="application/vnd.openxmlformats-officedocument.oleObject"/>
  <Default Extension="jpeg" ContentType="image/jpeg"/>
  <Override PartName="/xl/embeddings/oleObject271.bin" ContentType="application/vnd.openxmlformats-officedocument.oleObject"/>
  <Override PartName="/xl/embeddings/oleObject282.bin" ContentType="application/vnd.openxmlformats-officedocument.oleObject"/>
  <Override PartName="/xl/drawings/drawing5.xml" ContentType="application/vnd.openxmlformats-officedocument.drawing+xml"/>
  <Override PartName="/xl/embeddings/oleObject179.bin" ContentType="application/vnd.openxmlformats-officedocument.oleObject"/>
  <Override PartName="/xl/embeddings/oleObject213.bin" ContentType="application/vnd.openxmlformats-officedocument.oleObject"/>
  <Override PartName="/xl/embeddings/oleObject242.bin" ContentType="application/vnd.openxmlformats-officedocument.oleObject"/>
  <Override PartName="/xl/embeddings/oleObject260.bin" ContentType="application/vnd.openxmlformats-officedocument.oleObject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embeddings/oleObject69.bin" ContentType="application/vnd.openxmlformats-officedocument.oleObject"/>
  <Override PartName="/xl/embeddings/oleObject98.bin" ContentType="application/vnd.openxmlformats-officedocument.oleObject"/>
  <Override PartName="/xl/embeddings/oleObject168.bin" ContentType="application/vnd.openxmlformats-officedocument.oleObject"/>
  <Override PartName="/xl/embeddings/oleObject197.bin" ContentType="application/vnd.openxmlformats-officedocument.oleObject"/>
  <Override PartName="/xl/embeddings/oleObject202.bin" ContentType="application/vnd.openxmlformats-officedocument.oleObject"/>
  <Override PartName="/xl/embeddings/oleObject220.bin" ContentType="application/vnd.openxmlformats-officedocument.oleObject"/>
  <Override PartName="/xl/embeddings/oleObject231.bin" ContentType="application/vnd.openxmlformats-officedocument.oleObject"/>
  <Override PartName="/xl/embeddings/oleObject318.bin" ContentType="application/vnd.openxmlformats-officedocument.oleObject"/>
  <Override PartName="/xl/embeddings/oleObject58.bin" ContentType="application/vnd.openxmlformats-officedocument.oleObject"/>
  <Override PartName="/xl/embeddings/oleObject87.bin" ContentType="application/vnd.openxmlformats-officedocument.oleObject"/>
  <Override PartName="/xl/embeddings/oleObject128.bin" ContentType="application/vnd.openxmlformats-officedocument.oleObject"/>
  <Override PartName="/xl/embeddings/oleObject139.bin" ContentType="application/vnd.openxmlformats-officedocument.oleObject"/>
  <Override PartName="/xl/embeddings/oleObject157.bin" ContentType="application/vnd.openxmlformats-officedocument.oleObject"/>
  <Override PartName="/xl/embeddings/oleObject175.bin" ContentType="application/vnd.openxmlformats-officedocument.oleObject"/>
  <Override PartName="/xl/embeddings/oleObject186.bin" ContentType="application/vnd.openxmlformats-officedocument.oleObject"/>
  <Override PartName="/xl/embeddings/oleObject307.bin" ContentType="application/vnd.openxmlformats-officedocument.oleObject"/>
  <Override PartName="/xl/embeddings/oleObject18.bin" ContentType="application/vnd.openxmlformats-officedocument.oleObject"/>
  <Override PartName="/xl/embeddings/oleObject29.bin" ContentType="application/vnd.openxmlformats-officedocument.oleObject"/>
  <Override PartName="/xl/embeddings/oleObject47.bin" ContentType="application/vnd.openxmlformats-officedocument.oleObject"/>
  <Override PartName="/xl/embeddings/oleObject65.bin" ContentType="application/vnd.openxmlformats-officedocument.oleObject"/>
  <Override PartName="/xl/embeddings/oleObject76.bin" ContentType="application/vnd.openxmlformats-officedocument.oleObject"/>
  <Override PartName="/xl/embeddings/oleObject94.bin" ContentType="application/vnd.openxmlformats-officedocument.oleObject"/>
  <Override PartName="/xl/embeddings/oleObject117.bin" ContentType="application/vnd.openxmlformats-officedocument.oleObject"/>
  <Override PartName="/xl/embeddings/oleObject146.bin" ContentType="application/vnd.openxmlformats-officedocument.oleObject"/>
  <Override PartName="/xl/embeddings/oleObject164.bin" ContentType="application/vnd.openxmlformats-officedocument.oleObject"/>
  <Override PartName="/xl/embeddings/oleObject193.bin" ContentType="application/vnd.openxmlformats-officedocument.oleObject"/>
  <Override PartName="/xl/embeddings/oleObject314.bin" ContentType="application/vnd.openxmlformats-officedocument.oleObject"/>
  <Override PartName="/xl/embeddings/oleObject25.bin" ContentType="application/vnd.openxmlformats-officedocument.oleObject"/>
  <Override PartName="/xl/embeddings/oleObject36.bin" ContentType="application/vnd.openxmlformats-officedocument.oleObject"/>
  <Override PartName="/xl/embeddings/oleObject54.bin" ContentType="application/vnd.openxmlformats-officedocument.oleObject"/>
  <Override PartName="/xl/embeddings/oleObject72.bin" ContentType="application/vnd.openxmlformats-officedocument.oleObject"/>
  <Override PartName="/xl/embeddings/oleObject83.bin" ContentType="application/vnd.openxmlformats-officedocument.oleObject"/>
  <Override PartName="/xl/embeddings/oleObject106.bin" ContentType="application/vnd.openxmlformats-officedocument.oleObject"/>
  <Override PartName="/xl/embeddings/oleObject124.bin" ContentType="application/vnd.openxmlformats-officedocument.oleObject"/>
  <Override PartName="/xl/embeddings/oleObject135.bin" ContentType="application/vnd.openxmlformats-officedocument.oleObject"/>
  <Override PartName="/xl/embeddings/oleObject153.bin" ContentType="application/vnd.openxmlformats-officedocument.oleObject"/>
  <Override PartName="/xl/embeddings/oleObject171.bin" ContentType="application/vnd.openxmlformats-officedocument.oleObject"/>
  <Override PartName="/xl/embeddings/oleObject182.bin" ContentType="application/vnd.openxmlformats-officedocument.oleObject"/>
  <Override PartName="/xl/embeddings/oleObject269.bin" ContentType="application/vnd.openxmlformats-officedocument.oleObject"/>
  <Override PartName="/xl/embeddings/oleObject287.bin" ContentType="application/vnd.openxmlformats-officedocument.oleObject"/>
  <Override PartName="/xl/embeddings/oleObject298.bin" ContentType="application/vnd.openxmlformats-officedocument.oleObject"/>
  <Override PartName="/xl/embeddings/oleObject303.bin" ContentType="application/vnd.openxmlformats-officedocument.oleObject"/>
  <Override PartName="/xl/embeddings/oleObject321.bin" ContentType="application/vnd.openxmlformats-officedocument.oleObject"/>
  <Override PartName="/xl/embeddings/oleObject14.bin" ContentType="application/vnd.openxmlformats-officedocument.oleObject"/>
  <Override PartName="/xl/embeddings/oleObject61.bin" ContentType="application/vnd.openxmlformats-officedocument.oleObject"/>
  <Override PartName="/xl/embeddings/oleObject113.bin" ContentType="application/vnd.openxmlformats-officedocument.oleObject"/>
  <Override PartName="/xl/embeddings/oleObject160.bin" ContentType="application/vnd.openxmlformats-officedocument.oleObject"/>
  <Override PartName="/xl/embeddings/oleObject247.bin" ContentType="application/vnd.openxmlformats-officedocument.oleObject"/>
  <Override PartName="/xl/embeddings/oleObject258.bin" ContentType="application/vnd.openxmlformats-officedocument.oleObject"/>
  <Override PartName="/xl/embeddings/oleObject294.bin" ContentType="application/vnd.openxmlformats-officedocument.oleObject"/>
  <Override PartName="/xl/embeddings/oleObject310.bin" ContentType="application/vnd.openxmlformats-officedocument.oleObject"/>
  <Override PartName="/xl/embeddings/oleObject50.bin" ContentType="application/vnd.openxmlformats-officedocument.oleObject"/>
  <Override PartName="/xl/embeddings/oleObject102.bin" ContentType="application/vnd.openxmlformats-officedocument.oleObject"/>
  <Override PartName="/xl/embeddings/oleObject236.bin" ContentType="application/vnd.openxmlformats-officedocument.oleObject"/>
  <Override PartName="/xl/embeddings/oleObject283.bin" ContentType="application/vnd.openxmlformats-officedocument.oleObject"/>
  <Override PartName="/xl/embeddings/oleObject4.bin" ContentType="application/vnd.openxmlformats-officedocument.oleObject"/>
  <Override PartName="/xl/embeddings/oleObject225.bin" ContentType="application/vnd.openxmlformats-officedocument.oleObject"/>
  <Override PartName="/xl/embeddings/oleObject272.bin" ContentType="application/vnd.openxmlformats-officedocument.oleObject"/>
  <Override PartName="/xl/embeddings/oleObject198.bin" ContentType="application/vnd.openxmlformats-officedocument.oleObject"/>
  <Override PartName="/xl/embeddings/oleObject214.bin" ContentType="application/vnd.openxmlformats-officedocument.oleObject"/>
  <Override PartName="/xl/embeddings/oleObject261.bin" ContentType="application/vnd.openxmlformats-officedocument.oleObject"/>
  <Override PartName="/xl/embeddings/oleObject88.bin" ContentType="application/vnd.openxmlformats-officedocument.oleObject"/>
  <Override PartName="/xl/embeddings/oleObject99.bin" ContentType="application/vnd.openxmlformats-officedocument.oleObject"/>
  <Override PartName="/xl/embeddings/oleObject187.bin" ContentType="application/vnd.openxmlformats-officedocument.oleObject"/>
  <Override PartName="/xl/embeddings/oleObject203.bin" ContentType="application/vnd.openxmlformats-officedocument.oleObject"/>
  <Override PartName="/xl/embeddings/oleObject250.bin" ContentType="application/vnd.openxmlformats-officedocument.oleObject"/>
  <Override PartName="/xl/embeddings/oleObject77.bin" ContentType="application/vnd.openxmlformats-officedocument.oleObject"/>
  <Override PartName="/xl/embeddings/oleObject129.bin" ContentType="application/vnd.openxmlformats-officedocument.oleObject"/>
  <Override PartName="/xl/embeddings/oleObject176.bin" ContentType="application/vnd.openxmlformats-officedocument.oleObject"/>
  <Override PartName="/xl/embeddings/oleObject315.bin" ContentType="application/vnd.openxmlformats-officedocument.oleObject"/>
  <Override PartName="/xl/sharedStrings.xml" ContentType="application/vnd.openxmlformats-officedocument.spreadsheetml.sharedStrings+xml"/>
  <Override PartName="/xl/embeddings/oleObject19.bin" ContentType="application/vnd.openxmlformats-officedocument.oleObject"/>
  <Override PartName="/xl/embeddings/oleObject66.bin" ContentType="application/vnd.openxmlformats-officedocument.oleObject"/>
  <Override PartName="/xl/embeddings/oleObject107.bin" ContentType="application/vnd.openxmlformats-officedocument.oleObject"/>
  <Override PartName="/xl/embeddings/oleObject118.bin" ContentType="application/vnd.openxmlformats-officedocument.oleObject"/>
  <Override PartName="/xl/embeddings/oleObject154.bin" ContentType="application/vnd.openxmlformats-officedocument.oleObject"/>
  <Override PartName="/xl/embeddings/oleObject165.bin" ContentType="application/vnd.openxmlformats-officedocument.oleObject"/>
  <Override PartName="/xl/embeddings/oleObject299.bin" ContentType="application/vnd.openxmlformats-officedocument.oleObject"/>
  <Override PartName="/xl/embeddings/oleObject304.bin" ContentType="application/vnd.openxmlformats-officedocument.oleObject"/>
  <Override PartName="/xl/embeddings/oleObject9.bin" ContentType="application/vnd.openxmlformats-officedocument.oleObject"/>
  <Override PartName="/xl/embeddings/oleObject44.bin" ContentType="application/vnd.openxmlformats-officedocument.oleObject"/>
  <Override PartName="/xl/embeddings/oleObject55.bin" ContentType="application/vnd.openxmlformats-officedocument.oleObject"/>
  <Override PartName="/xl/embeddings/oleObject91.bin" ContentType="application/vnd.openxmlformats-officedocument.oleObject"/>
  <Override PartName="/xl/embeddings/oleObject143.bin" ContentType="application/vnd.openxmlformats-officedocument.oleObject"/>
  <Override PartName="/xl/embeddings/oleObject190.bin" ContentType="application/vnd.openxmlformats-officedocument.oleObject"/>
  <Override PartName="/xl/embeddings/oleObject288.bin" ContentType="application/vnd.openxmlformats-officedocument.oleObject"/>
  <Default Extension="bin" ContentType="application/vnd.openxmlformats-officedocument.spreadsheetml.printerSettings"/>
  <Override PartName="/xl/embeddings/oleObject33.bin" ContentType="application/vnd.openxmlformats-officedocument.oleObject"/>
  <Override PartName="/xl/embeddings/oleObject80.bin" ContentType="application/vnd.openxmlformats-officedocument.oleObject"/>
  <Override PartName="/xl/embeddings/oleObject132.bin" ContentType="application/vnd.openxmlformats-officedocument.oleObject"/>
  <Override PartName="/xl/embeddings/oleObject219.bin" ContentType="application/vnd.openxmlformats-officedocument.oleObject"/>
  <Override PartName="/xl/embeddings/oleObject266.bin" ContentType="application/vnd.openxmlformats-officedocument.oleObject"/>
  <Override PartName="/xl/embeddings/oleObject277.bin" ContentType="application/vnd.openxmlformats-officedocument.oleObject"/>
  <Override PartName="/xl/embeddings/oleObject22.bin" ContentType="application/vnd.openxmlformats-officedocument.oleObject"/>
  <Override PartName="/xl/embeddings/oleObject110.bin" ContentType="application/vnd.openxmlformats-officedocument.oleObject"/>
  <Override PartName="/xl/embeddings/oleObject121.bin" ContentType="application/vnd.openxmlformats-officedocument.oleObject"/>
  <Override PartName="/xl/embeddings/oleObject208.bin" ContentType="application/vnd.openxmlformats-officedocument.oleObject"/>
  <Override PartName="/xl/embeddings/oleObject255.bin" ContentType="application/vnd.openxmlformats-officedocument.oleObject"/>
  <Override PartName="/xl/embeddings/oleObject11.bin" ContentType="application/vnd.openxmlformats-officedocument.oleObject"/>
  <Override PartName="/xl/embeddings/oleObject244.bin" ContentType="application/vnd.openxmlformats-officedocument.oleObject"/>
  <Override PartName="/xl/embeddings/oleObject291.bin" ContentType="application/vnd.openxmlformats-officedocument.oleObject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embeddings/oleObject1.bin" ContentType="application/vnd.openxmlformats-officedocument.oleObject"/>
  <Override PartName="/xl/embeddings/oleObject222.bin" ContentType="application/vnd.openxmlformats-officedocument.oleObject"/>
  <Override PartName="/xl/embeddings/oleObject233.bin" ContentType="application/vnd.openxmlformats-officedocument.oleObject"/>
  <Override PartName="/xl/drawings/drawing3.xml" ContentType="application/vnd.openxmlformats-officedocument.drawing+xml"/>
  <Override PartName="/xl/embeddings/oleObject280.bin" ContentType="application/vnd.openxmlformats-officedocument.oleObject"/>
  <Override PartName="/xl/embeddings/oleObject159.bin" ContentType="application/vnd.openxmlformats-officedocument.oleObject"/>
  <Override PartName="/xl/embeddings/oleObject211.bin" ContentType="application/vnd.openxmlformats-officedocument.oleObject"/>
  <Override PartName="/xl/embeddings/oleObject309.bin" ContentType="application/vnd.openxmlformats-officedocument.oleObject"/>
  <Default Extension="vml" ContentType="application/vnd.openxmlformats-officedocument.vmlDrawing"/>
  <Override PartName="/xl/embeddings/oleObject49.bin" ContentType="application/vnd.openxmlformats-officedocument.oleObject"/>
  <Override PartName="/xl/embeddings/oleObject96.bin" ContentType="application/vnd.openxmlformats-officedocument.oleObject"/>
  <Override PartName="/xl/embeddings/oleObject148.bin" ContentType="application/vnd.openxmlformats-officedocument.oleObject"/>
  <Override PartName="/xl/embeddings/oleObject195.bin" ContentType="application/vnd.openxmlformats-officedocument.oleObject"/>
  <Override PartName="/xl/embeddings/oleObject200.bin" ContentType="application/vnd.openxmlformats-officedocument.oleObject"/>
  <Override PartName="/xl/embeddings/oleObject38.bin" ContentType="application/vnd.openxmlformats-officedocument.oleObject"/>
  <Override PartName="/xl/embeddings/oleObject85.bin" ContentType="application/vnd.openxmlformats-officedocument.oleObject"/>
  <Override PartName="/xl/embeddings/oleObject126.bin" ContentType="application/vnd.openxmlformats-officedocument.oleObject"/>
  <Override PartName="/xl/embeddings/oleObject137.bin" ContentType="application/vnd.openxmlformats-officedocument.oleObject"/>
  <Override PartName="/xl/embeddings/oleObject173.bin" ContentType="application/vnd.openxmlformats-officedocument.oleObject"/>
  <Override PartName="/xl/embeddings/oleObject184.bin" ContentType="application/vnd.openxmlformats-officedocument.oleObject"/>
  <Override PartName="/xl/embeddings/oleObject16.bin" ContentType="application/vnd.openxmlformats-officedocument.oleObject"/>
  <Override PartName="/xl/embeddings/oleObject27.bin" ContentType="application/vnd.openxmlformats-officedocument.oleObject"/>
  <Override PartName="/xl/embeddings/oleObject63.bin" ContentType="application/vnd.openxmlformats-officedocument.oleObject"/>
  <Override PartName="/xl/embeddings/oleObject74.bin" ContentType="application/vnd.openxmlformats-officedocument.oleObject"/>
  <Override PartName="/xl/embeddings/oleObject115.bin" ContentType="application/vnd.openxmlformats-officedocument.oleObject"/>
  <Override PartName="/xl/embeddings/oleObject162.bin" ContentType="application/vnd.openxmlformats-officedocument.oleObject"/>
  <Override PartName="/xl/embeddings/oleObject312.bin" ContentType="application/vnd.openxmlformats-officedocument.oleObject"/>
  <Override PartName="/docProps/core.xml" ContentType="application/vnd.openxmlformats-package.core-properties+xml"/>
  <Override PartName="/xl/embeddings/oleObject52.bin" ContentType="application/vnd.openxmlformats-officedocument.oleObject"/>
  <Override PartName="/xl/embeddings/oleObject104.bin" ContentType="application/vnd.openxmlformats-officedocument.oleObject"/>
  <Override PartName="/xl/embeddings/oleObject151.bin" ContentType="application/vnd.openxmlformats-officedocument.oleObject"/>
  <Override PartName="/xl/embeddings/oleObject238.bin" ContentType="application/vnd.openxmlformats-officedocument.oleObject"/>
  <Override PartName="/xl/embeddings/oleObject249.bin" ContentType="application/vnd.openxmlformats-officedocument.oleObject"/>
  <Override PartName="/xl/embeddings/oleObject285.bin" ContentType="application/vnd.openxmlformats-officedocument.oleObject"/>
  <Override PartName="/xl/embeddings/oleObject296.bin" ContentType="application/vnd.openxmlformats-officedocument.oleObject"/>
  <Override PartName="/xl/embeddings/oleObject301.bin" ContentType="application/vnd.openxmlformats-officedocument.oleObject"/>
  <Override PartName="/xl/theme/theme1.xml" ContentType="application/vnd.openxmlformats-officedocument.theme+xml"/>
  <Override PartName="/xl/embeddings/oleObject6.bin" ContentType="application/vnd.openxmlformats-officedocument.oleObject"/>
  <Override PartName="/xl/embeddings/oleObject41.bin" ContentType="application/vnd.openxmlformats-officedocument.oleObject"/>
  <Override PartName="/xl/embeddings/oleObject140.bin" ContentType="application/vnd.openxmlformats-officedocument.oleObject"/>
  <Override PartName="/xl/embeddings/oleObject227.bin" ContentType="application/vnd.openxmlformats-officedocument.oleObject"/>
  <Override PartName="/xl/embeddings/oleObject274.bin" ContentType="application/vnd.openxmlformats-officedocument.oleObject"/>
  <Override PartName="/xl/embeddings/oleObject30.bin" ContentType="application/vnd.openxmlformats-officedocument.oleObject"/>
  <Override PartName="/xl/embeddings/oleObject216.bin" ContentType="application/vnd.openxmlformats-officedocument.oleObject"/>
  <Override PartName="/xl/embeddings/oleObject263.bin" ContentType="application/vnd.openxmlformats-officedocument.oleObject"/>
  <Default Extension="rels" ContentType="application/vnd.openxmlformats-package.relationships+xml"/>
  <Override PartName="/xl/embeddings/oleObject189.bin" ContentType="application/vnd.openxmlformats-officedocument.oleObject"/>
  <Override PartName="/xl/embeddings/oleObject205.bin" ContentType="application/vnd.openxmlformats-officedocument.oleObject"/>
  <Override PartName="/xl/embeddings/oleObject241.bin" ContentType="application/vnd.openxmlformats-officedocument.oleObject"/>
  <Override PartName="/xl/embeddings/oleObject252.bin" ContentType="application/vnd.openxmlformats-officedocument.oleObject"/>
  <Override PartName="/xl/embeddings/oleObject79.bin" ContentType="application/vnd.openxmlformats-officedocument.oleObject"/>
  <Override PartName="/xl/embeddings/oleObject178.bin" ContentType="application/vnd.openxmlformats-officedocument.oleObject"/>
  <Override PartName="/xl/embeddings/oleObject230.bin" ContentType="application/vnd.openxmlformats-officedocument.oleObject"/>
  <Override PartName="/xl/embeddings/oleObject317.bin" ContentType="application/vnd.openxmlformats-officedocument.oleObject"/>
  <Override PartName="/xl/worksheets/sheet1.xml" ContentType="application/vnd.openxmlformats-officedocument.spreadsheetml.worksheet+xml"/>
  <Override PartName="/xl/embeddings/oleObject68.bin" ContentType="application/vnd.openxmlformats-officedocument.oleObject"/>
  <Override PartName="/xl/embeddings/oleObject109.bin" ContentType="application/vnd.openxmlformats-officedocument.oleObject"/>
  <Override PartName="/xl/embeddings/oleObject156.bin" ContentType="application/vnd.openxmlformats-officedocument.oleObject"/>
  <Override PartName="/xl/embeddings/oleObject167.bin" ContentType="application/vnd.openxmlformats-officedocument.oleObject"/>
  <Override PartName="/xl/embeddings/oleObject306.bin" ContentType="application/vnd.openxmlformats-officedocument.oleObject"/>
  <Override PartName="/xl/embeddings/oleObject46.bin" ContentType="application/vnd.openxmlformats-officedocument.oleObject"/>
  <Override PartName="/xl/embeddings/oleObject57.bin" ContentType="application/vnd.openxmlformats-officedocument.oleObject"/>
  <Override PartName="/xl/embeddings/oleObject93.bin" ContentType="application/vnd.openxmlformats-officedocument.oleObject"/>
  <Override PartName="/xl/embeddings/oleObject145.bin" ContentType="application/vnd.openxmlformats-officedocument.oleObject"/>
  <Override PartName="/xl/embeddings/oleObject192.bin" ContentType="application/vnd.openxmlformats-officedocument.oleObject"/>
  <Override PartName="/xl/embeddings/oleObject35.bin" ContentType="application/vnd.openxmlformats-officedocument.oleObject"/>
  <Override PartName="/xl/embeddings/oleObject82.bin" ContentType="application/vnd.openxmlformats-officedocument.oleObject"/>
  <Override PartName="/xl/embeddings/oleObject134.bin" ContentType="application/vnd.openxmlformats-officedocument.oleObject"/>
  <Override PartName="/xl/embeddings/oleObject181.bin" ContentType="application/vnd.openxmlformats-officedocument.oleObject"/>
  <Override PartName="/xl/embeddings/oleObject268.bin" ContentType="application/vnd.openxmlformats-officedocument.oleObject"/>
  <Override PartName="/xl/embeddings/oleObject279.bin" ContentType="application/vnd.openxmlformats-officedocument.oleObject"/>
  <Override PartName="/xl/embeddings/oleObject24.bin" ContentType="application/vnd.openxmlformats-officedocument.oleObject"/>
  <Override PartName="/xl/embeddings/oleObject71.bin" ContentType="application/vnd.openxmlformats-officedocument.oleObject"/>
  <Override PartName="/xl/embeddings/oleObject123.bin" ContentType="application/vnd.openxmlformats-officedocument.oleObject"/>
  <Override PartName="/xl/embeddings/oleObject170.bin" ContentType="application/vnd.openxmlformats-officedocument.oleObject"/>
  <Override PartName="/xl/embeddings/oleObject257.bin" ContentType="application/vnd.openxmlformats-officedocument.oleObject"/>
  <Override PartName="/xl/embeddings/oleObject320.bin" ContentType="application/vnd.openxmlformats-officedocument.oleObject"/>
  <Override PartName="/xl/embeddings/oleObject13.bin" ContentType="application/vnd.openxmlformats-officedocument.oleObject"/>
  <Override PartName="/xl/embeddings/oleObject60.bin" ContentType="application/vnd.openxmlformats-officedocument.oleObject"/>
  <Override PartName="/xl/embeddings/oleObject101.bin" ContentType="application/vnd.openxmlformats-officedocument.oleObject"/>
  <Override PartName="/xl/embeddings/oleObject112.bin" ContentType="application/vnd.openxmlformats-officedocument.oleObject"/>
  <Override PartName="/xl/embeddings/oleObject246.bin" ContentType="application/vnd.openxmlformats-officedocument.oleObject"/>
  <Override PartName="/xl/embeddings/oleObject293.bin" ContentType="application/vnd.openxmlformats-officedocument.oleObject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360" yWindow="105" windowWidth="15255" windowHeight="6150" tabRatio="669"/>
  </bookViews>
  <sheets>
    <sheet name="Раздел (1-11)" sheetId="1" r:id="rId1"/>
    <sheet name="Расчет пазов" sheetId="2" r:id="rId2"/>
    <sheet name="Рабочие и пусковые" sheetId="3" r:id="rId3"/>
    <sheet name="ГОСТ 8338 - 75" sheetId="4" r:id="rId4"/>
    <sheet name="Корпус и обмотка" sheetId="5" r:id="rId5"/>
  </sheets>
  <definedNames>
    <definedName name="Раздел_7_Параметры_рабочего_режима_двигателя">'Раздел (1-11)'!$C$202:$E$202</definedName>
  </definedNames>
  <calcPr calcId="125725"/>
</workbook>
</file>

<file path=xl/calcChain.xml><?xml version="1.0" encoding="utf-8"?>
<calcChain xmlns="http://schemas.openxmlformats.org/spreadsheetml/2006/main">
  <c r="D332" i="1"/>
  <c r="D330"/>
  <c r="D333" s="1"/>
  <c r="D356"/>
  <c r="M24" i="3"/>
  <c r="D449" i="1"/>
  <c r="D459" s="1"/>
  <c r="D457"/>
  <c r="D446"/>
  <c r="D417"/>
  <c r="D418"/>
  <c r="D409"/>
  <c r="D408"/>
  <c r="D395"/>
  <c r="I12" i="3"/>
  <c r="O30"/>
  <c r="P30"/>
  <c r="Q30"/>
  <c r="R30"/>
  <c r="N30"/>
  <c r="M30"/>
  <c r="D74" i="1"/>
  <c r="G16" i="3"/>
  <c r="C12"/>
  <c r="B12"/>
  <c r="I210" i="1"/>
  <c r="I209"/>
  <c r="I208"/>
  <c r="D301"/>
  <c r="D296"/>
  <c r="D287"/>
  <c r="I267"/>
  <c r="I238"/>
  <c r="I240"/>
  <c r="I239"/>
  <c r="D232"/>
  <c r="D116" i="2"/>
  <c r="AH122" s="1"/>
  <c r="D113"/>
  <c r="AH120" s="1"/>
  <c r="D11"/>
  <c r="D8"/>
  <c r="BH59" s="1"/>
  <c r="D231" i="1"/>
  <c r="D234" s="1"/>
  <c r="D76" i="2" s="1"/>
  <c r="D230" i="1"/>
  <c r="D228"/>
  <c r="D139"/>
  <c r="I188"/>
  <c r="I187"/>
  <c r="I178"/>
  <c r="I177"/>
  <c r="D191"/>
  <c r="D175"/>
  <c r="D334" l="1"/>
  <c r="D410"/>
  <c r="I241"/>
  <c r="D123"/>
  <c r="D131" s="1"/>
  <c r="D73"/>
  <c r="D82"/>
  <c r="D65"/>
  <c r="D63"/>
  <c r="D58"/>
  <c r="D38"/>
  <c r="D21"/>
  <c r="D19"/>
  <c r="D295" s="1"/>
  <c r="D11"/>
  <c r="J12" i="3" l="1"/>
  <c r="D12"/>
  <c r="D156" i="1"/>
  <c r="D253"/>
  <c r="D135"/>
  <c r="D134" s="1"/>
  <c r="D106"/>
  <c r="D39"/>
  <c r="D452" s="1"/>
  <c r="D451" s="1"/>
  <c r="D448" s="1"/>
  <c r="D12"/>
  <c r="D122"/>
  <c r="D128" s="1"/>
  <c r="D70"/>
  <c r="D83"/>
  <c r="D64"/>
  <c r="D72" s="1"/>
  <c r="D77" s="1"/>
  <c r="D50"/>
  <c r="D51"/>
  <c r="D56"/>
  <c r="D57" s="1"/>
  <c r="D61" s="1"/>
  <c r="D54" l="1"/>
  <c r="D55" s="1"/>
  <c r="E12" i="3"/>
  <c r="D155" i="1"/>
  <c r="D109"/>
  <c r="D7" i="2"/>
  <c r="D130" i="1"/>
  <c r="D371" s="1"/>
  <c r="D370" s="1"/>
  <c r="D138"/>
  <c r="D20"/>
  <c r="D40" s="1"/>
  <c r="D97"/>
  <c r="D186" s="1"/>
  <c r="D185" s="1"/>
  <c r="D71"/>
  <c r="D367" l="1"/>
  <c r="D365" s="1"/>
  <c r="D361"/>
  <c r="D360" s="1"/>
  <c r="D278"/>
  <c r="D277" s="1"/>
  <c r="D293" s="1"/>
  <c r="I237"/>
  <c r="D174"/>
  <c r="I236"/>
  <c r="BH63" i="2"/>
  <c r="BH60"/>
  <c r="BH58"/>
  <c r="BH61"/>
  <c r="BH62"/>
  <c r="D167" i="1"/>
  <c r="D288" s="1"/>
  <c r="D239"/>
  <c r="D170"/>
  <c r="D168"/>
  <c r="D166"/>
  <c r="D96"/>
  <c r="D269" s="1"/>
  <c r="D145"/>
  <c r="D104"/>
  <c r="D147" l="1"/>
  <c r="D111" i="2" s="1"/>
  <c r="AH119" s="1"/>
  <c r="D290" i="1"/>
  <c r="D268"/>
  <c r="D172"/>
  <c r="D279"/>
  <c r="D252"/>
  <c r="D372" s="1"/>
  <c r="I243"/>
  <c r="D238" s="1"/>
  <c r="D240" s="1"/>
  <c r="D236" s="1"/>
  <c r="D366" s="1"/>
  <c r="I242"/>
  <c r="D10" i="2"/>
  <c r="D211" i="1"/>
  <c r="D82" i="2"/>
  <c r="D237" i="1" s="1"/>
  <c r="D364" s="1"/>
  <c r="D176"/>
  <c r="D169"/>
  <c r="D267" s="1"/>
  <c r="D107"/>
  <c r="D9" i="2" s="1"/>
  <c r="D105" i="1"/>
  <c r="D403" s="1"/>
  <c r="D149"/>
  <c r="D210" l="1"/>
  <c r="D209" s="1"/>
  <c r="D416"/>
  <c r="D345"/>
  <c r="D346" s="1"/>
  <c r="I340"/>
  <c r="D261"/>
  <c r="D108"/>
  <c r="D6" i="2"/>
  <c r="D150" i="1"/>
  <c r="D112" i="2"/>
  <c r="AH118" s="1"/>
  <c r="D110" i="1"/>
  <c r="D111"/>
  <c r="D117" s="1"/>
  <c r="D112"/>
  <c r="D113"/>
  <c r="D235" l="1"/>
  <c r="D223" s="1"/>
  <c r="D249" s="1"/>
  <c r="D294"/>
  <c r="F12" i="3" s="1"/>
  <c r="D208" i="1"/>
  <c r="D114" i="2"/>
  <c r="AH121" s="1"/>
  <c r="D152" i="1"/>
  <c r="D151"/>
  <c r="D204" l="1"/>
  <c r="B16" i="3" s="1"/>
  <c r="D435" i="1"/>
  <c r="D436"/>
  <c r="D368"/>
  <c r="D347"/>
  <c r="Q27" i="3"/>
  <c r="P27"/>
  <c r="N27"/>
  <c r="R27"/>
  <c r="M27"/>
  <c r="O27"/>
  <c r="D171" i="1"/>
  <c r="D153"/>
  <c r="D157" s="1"/>
  <c r="D154" s="1"/>
  <c r="D217"/>
  <c r="E217" s="1"/>
  <c r="D169" i="2"/>
  <c r="D251" i="1" s="1"/>
  <c r="D194"/>
  <c r="D192" s="1"/>
  <c r="D159"/>
  <c r="D219" s="1"/>
  <c r="D182"/>
  <c r="D115" i="2"/>
  <c r="D160" i="1" l="1"/>
  <c r="D214"/>
  <c r="D397"/>
  <c r="D396" s="1"/>
  <c r="D339"/>
  <c r="D343" s="1"/>
  <c r="D344" s="1"/>
  <c r="R26" i="3"/>
  <c r="Q26"/>
  <c r="N26"/>
  <c r="O26"/>
  <c r="P26"/>
  <c r="M26"/>
  <c r="D350" i="1"/>
  <c r="D369"/>
  <c r="M23" i="3"/>
  <c r="R23"/>
  <c r="N23"/>
  <c r="O23"/>
  <c r="P23"/>
  <c r="Q23"/>
  <c r="D181" i="1"/>
  <c r="D184" s="1"/>
  <c r="D289"/>
  <c r="D193"/>
  <c r="D161"/>
  <c r="D218"/>
  <c r="E218" s="1"/>
  <c r="D402" l="1"/>
  <c r="D389"/>
  <c r="D414"/>
  <c r="D415" s="1"/>
  <c r="D413"/>
  <c r="D196"/>
  <c r="D197" s="1"/>
  <c r="D216"/>
  <c r="E216" s="1"/>
  <c r="D254"/>
  <c r="D428" l="1"/>
  <c r="G216"/>
  <c r="N28" i="3"/>
  <c r="O28"/>
  <c r="R28"/>
  <c r="P28"/>
  <c r="M28"/>
  <c r="Q28"/>
  <c r="D250" i="1"/>
  <c r="D255" s="1"/>
  <c r="D373" s="1"/>
  <c r="D353"/>
  <c r="D221"/>
  <c r="C16" i="3" s="1"/>
  <c r="D348" i="1"/>
  <c r="D198"/>
  <c r="Q29" i="3" l="1"/>
  <c r="N29"/>
  <c r="O29"/>
  <c r="R29"/>
  <c r="P29"/>
  <c r="M29"/>
  <c r="O45"/>
  <c r="Q45"/>
  <c r="P45"/>
  <c r="R45"/>
  <c r="M45"/>
  <c r="N45"/>
  <c r="D256" i="1"/>
  <c r="D354"/>
  <c r="D349"/>
  <c r="D222"/>
  <c r="D200"/>
  <c r="H12" i="3"/>
  <c r="D311" i="1"/>
  <c r="D304"/>
  <c r="D303" s="1"/>
  <c r="D310"/>
  <c r="D313"/>
  <c r="G12" i="3" s="1"/>
  <c r="D312" i="1" l="1"/>
  <c r="D317" s="1"/>
  <c r="H16" i="3" s="1"/>
  <c r="D374" i="1"/>
  <c r="D377" s="1"/>
  <c r="D302"/>
  <c r="D305" s="1"/>
  <c r="N34" i="3" l="1"/>
  <c r="R34"/>
  <c r="Q34"/>
  <c r="P34"/>
  <c r="O34"/>
  <c r="M34"/>
  <c r="M35"/>
  <c r="M47"/>
  <c r="R47"/>
  <c r="Q47"/>
  <c r="P47"/>
  <c r="O47"/>
  <c r="N47"/>
  <c r="D327" i="1"/>
  <c r="D379"/>
  <c r="D385"/>
  <c r="D315"/>
  <c r="F16" i="3" s="1"/>
  <c r="D314" i="1"/>
  <c r="E16" i="3" s="1"/>
  <c r="D16"/>
  <c r="D378" i="1" l="1"/>
  <c r="D375" s="1"/>
  <c r="R46" i="3"/>
  <c r="Q46"/>
  <c r="P46"/>
  <c r="O46"/>
  <c r="N46"/>
  <c r="Q36"/>
  <c r="P36"/>
  <c r="O36"/>
  <c r="N36"/>
  <c r="R36"/>
  <c r="M36"/>
  <c r="M46"/>
  <c r="Q44"/>
  <c r="P44"/>
  <c r="O44"/>
  <c r="R44"/>
  <c r="M44"/>
  <c r="N44"/>
  <c r="D355" i="1"/>
  <c r="R48" i="3" l="1"/>
  <c r="R50" s="1"/>
  <c r="M37"/>
  <c r="R37"/>
  <c r="N37"/>
  <c r="Q48"/>
  <c r="Q50" s="1"/>
  <c r="M48"/>
  <c r="M50" s="1"/>
  <c r="O48"/>
  <c r="P37"/>
  <c r="D376" i="1"/>
  <c r="D380" s="1"/>
  <c r="P48" i="3"/>
  <c r="N48"/>
  <c r="D381" i="1"/>
  <c r="O37" i="3"/>
  <c r="D382" i="1"/>
  <c r="Q37" i="3"/>
  <c r="N49" l="1"/>
  <c r="N55" s="1"/>
  <c r="N58" s="1"/>
  <c r="N51"/>
  <c r="N53" s="1"/>
  <c r="R49"/>
  <c r="R55" s="1"/>
  <c r="R58" s="1"/>
  <c r="R51"/>
  <c r="R53" s="1"/>
  <c r="M49"/>
  <c r="M51"/>
  <c r="M53" s="1"/>
  <c r="P49"/>
  <c r="P55" s="1"/>
  <c r="P58" s="1"/>
  <c r="P51"/>
  <c r="P53" s="1"/>
  <c r="O49"/>
  <c r="O55" s="1"/>
  <c r="O58" s="1"/>
  <c r="O51"/>
  <c r="O53" s="1"/>
  <c r="Q49"/>
  <c r="Q55" s="1"/>
  <c r="Q58" s="1"/>
  <c r="Q51"/>
  <c r="Q53" s="1"/>
  <c r="N50"/>
  <c r="O50"/>
  <c r="P50"/>
  <c r="N52" l="1"/>
  <c r="O52"/>
  <c r="Q52"/>
  <c r="M52"/>
  <c r="R52"/>
  <c r="P52"/>
  <c r="M55"/>
  <c r="M58" s="1"/>
  <c r="N56" l="1"/>
  <c r="N54"/>
  <c r="O56"/>
  <c r="O54"/>
  <c r="Q56"/>
  <c r="Q54"/>
  <c r="Q63" s="1"/>
  <c r="M54"/>
  <c r="M56"/>
  <c r="R54"/>
  <c r="R56"/>
  <c r="P56"/>
  <c r="P54"/>
  <c r="N59" l="1"/>
  <c r="N57"/>
  <c r="P59"/>
  <c r="P57"/>
  <c r="R57"/>
  <c r="R59"/>
  <c r="P63"/>
  <c r="M57"/>
  <c r="M59"/>
  <c r="O59"/>
  <c r="O57"/>
  <c r="Q59"/>
  <c r="Q57"/>
  <c r="N63"/>
  <c r="M63"/>
  <c r="O63"/>
  <c r="R63"/>
  <c r="R60" l="1"/>
  <c r="P60"/>
  <c r="P62" s="1"/>
  <c r="M60"/>
  <c r="M62" s="1"/>
  <c r="N60"/>
  <c r="O60"/>
  <c r="Q60"/>
  <c r="R62" l="1"/>
  <c r="D433" i="1"/>
  <c r="R61" i="3"/>
  <c r="P61"/>
  <c r="M61"/>
  <c r="N62"/>
  <c r="N61"/>
  <c r="O62"/>
  <c r="O61"/>
  <c r="Q62"/>
  <c r="Q61"/>
  <c r="D431" i="1" l="1"/>
  <c r="D432"/>
  <c r="D429" l="1"/>
  <c r="D439" s="1"/>
  <c r="D442" l="1"/>
  <c r="D460" s="1"/>
  <c r="D441"/>
</calcChain>
</file>

<file path=xl/sharedStrings.xml><?xml version="1.0" encoding="utf-8"?>
<sst xmlns="http://schemas.openxmlformats.org/spreadsheetml/2006/main" count="1135" uniqueCount="679">
  <si>
    <t>Исходные данные</t>
  </si>
  <si>
    <t>Номинальная мощность</t>
  </si>
  <si>
    <t>Фазное напряжение</t>
  </si>
  <si>
    <t>частота вращения</t>
  </si>
  <si>
    <t>Вт</t>
  </si>
  <si>
    <t>об/мин</t>
  </si>
  <si>
    <t>В</t>
  </si>
  <si>
    <t>2.1</t>
  </si>
  <si>
    <t>2.2</t>
  </si>
  <si>
    <t>2.3</t>
  </si>
  <si>
    <t>2.4</t>
  </si>
  <si>
    <t>2.5</t>
  </si>
  <si>
    <t>2.6</t>
  </si>
  <si>
    <t>2.7</t>
  </si>
  <si>
    <t>2.8</t>
  </si>
  <si>
    <t>2.9</t>
  </si>
  <si>
    <t xml:space="preserve">Число пар полюсов </t>
  </si>
  <si>
    <t>Наружный диаметр статора</t>
  </si>
  <si>
    <t>Пары полюсов</t>
  </si>
  <si>
    <t>Частота тока</t>
  </si>
  <si>
    <t>Гц</t>
  </si>
  <si>
    <t>Внутренний диаметр статора</t>
  </si>
  <si>
    <t>Высота оси вращения</t>
  </si>
  <si>
    <t>Кd определяется по таблице 2</t>
  </si>
  <si>
    <t>Полюсное деление</t>
  </si>
  <si>
    <t>Расчетная мощность</t>
  </si>
  <si>
    <t>Электромагнитные нагрузки</t>
  </si>
  <si>
    <t>Обмоточный коэффициент</t>
  </si>
  <si>
    <t>м</t>
  </si>
  <si>
    <t>КПД</t>
  </si>
  <si>
    <t>Коэффициент мощности</t>
  </si>
  <si>
    <t xml:space="preserve">Значение коэффициента Ke </t>
  </si>
  <si>
    <t>В, Тл</t>
  </si>
  <si>
    <t>А, А/м</t>
  </si>
  <si>
    <t>А/м</t>
  </si>
  <si>
    <t>Тл</t>
  </si>
  <si>
    <t>Расчетная длина воздушного зазора</t>
  </si>
  <si>
    <t>Кв коэффициент формы</t>
  </si>
  <si>
    <t>Синхронная угловая скорость</t>
  </si>
  <si>
    <t>Отношение экономические данные</t>
  </si>
  <si>
    <t>3.1</t>
  </si>
  <si>
    <t>3.2</t>
  </si>
  <si>
    <t>3.3</t>
  </si>
  <si>
    <t>3.4</t>
  </si>
  <si>
    <t>3.5</t>
  </si>
  <si>
    <t>3.6</t>
  </si>
  <si>
    <t>3.7</t>
  </si>
  <si>
    <t>3.8</t>
  </si>
  <si>
    <t>Предельные значения зубцового деления</t>
  </si>
  <si>
    <t>t1макс</t>
  </si>
  <si>
    <t>t1мин</t>
  </si>
  <si>
    <t>Число пазов статора</t>
  </si>
  <si>
    <t>z1макс</t>
  </si>
  <si>
    <t>z1мин</t>
  </si>
  <si>
    <t>z1</t>
  </si>
  <si>
    <t>число фаз</t>
  </si>
  <si>
    <t>Число пазов на полюс и фазу</t>
  </si>
  <si>
    <t>Окончательное значение зубцового деления статора</t>
  </si>
  <si>
    <t>Предварительное число эффективных проводников в пазу</t>
  </si>
  <si>
    <t>Номинальный ток обмотки статора</t>
  </si>
  <si>
    <t>Допустимое число а</t>
  </si>
  <si>
    <t>Окончательное число витков фазы обмотки статора</t>
  </si>
  <si>
    <t>Окончательное значение линейной нагрузки</t>
  </si>
  <si>
    <t>А</t>
  </si>
  <si>
    <t>3.10</t>
  </si>
  <si>
    <t>3.11</t>
  </si>
  <si>
    <t>3.12</t>
  </si>
  <si>
    <t>3.13</t>
  </si>
  <si>
    <t>3.14</t>
  </si>
  <si>
    <t>3.15</t>
  </si>
  <si>
    <t>Кp по таблице 3</t>
  </si>
  <si>
    <t>Ку</t>
  </si>
  <si>
    <t>Окончательное значение магнитного потока</t>
  </si>
  <si>
    <t>Индукция в воздушном зазоре</t>
  </si>
  <si>
    <t>Плотность тока в обмотке статора (предварительно)</t>
  </si>
  <si>
    <t>Сечение эффективного проводника (предварительно)</t>
  </si>
  <si>
    <t>Плотность тока в обмотке статора</t>
  </si>
  <si>
    <t>Значение (A*J) по рисунку 9</t>
  </si>
  <si>
    <t>(n эл)*(q эл)</t>
  </si>
  <si>
    <t>Число элементарных проводников (n эл)</t>
  </si>
  <si>
    <t>Сечение одного проводника (q эл) по таблице 4</t>
  </si>
  <si>
    <t>4.1</t>
  </si>
  <si>
    <t>4.2</t>
  </si>
  <si>
    <t>4.3</t>
  </si>
  <si>
    <t>4.4</t>
  </si>
  <si>
    <t>4.5</t>
  </si>
  <si>
    <t>4.6</t>
  </si>
  <si>
    <t>4.7</t>
  </si>
  <si>
    <t>Расчет размеров зубцовой зоны статора и воздушного зазора</t>
  </si>
  <si>
    <t>4</t>
  </si>
  <si>
    <t>Значение допустимой индукции в ярме статора Ba по таблице 5</t>
  </si>
  <si>
    <t>Значение допустимой индукции в зубцах статора Bz1 по таблице 5</t>
  </si>
  <si>
    <t>Значение коэффициента Kc</t>
  </si>
  <si>
    <t>мм</t>
  </si>
  <si>
    <t>Размеры паза в штампе</t>
  </si>
  <si>
    <t>Значение hn</t>
  </si>
  <si>
    <t>Значение h1</t>
  </si>
  <si>
    <t>в1'</t>
  </si>
  <si>
    <t>в2'</t>
  </si>
  <si>
    <t>h1'</t>
  </si>
  <si>
    <t>Δвп</t>
  </si>
  <si>
    <t>Δhп</t>
  </si>
  <si>
    <t>Sпр</t>
  </si>
  <si>
    <t>Sиз</t>
  </si>
  <si>
    <t>Sп'</t>
  </si>
  <si>
    <t>Ширина зубца вz1</t>
  </si>
  <si>
    <t>Высота ярма статора ha</t>
  </si>
  <si>
    <t>виз</t>
  </si>
  <si>
    <t>диаметр изолированного провода</t>
  </si>
  <si>
    <t>значение коэффициента кз</t>
  </si>
  <si>
    <t>5.1</t>
  </si>
  <si>
    <t>5.2</t>
  </si>
  <si>
    <t>5.3</t>
  </si>
  <si>
    <t>5.4</t>
  </si>
  <si>
    <t>5.5</t>
  </si>
  <si>
    <t>5.6</t>
  </si>
  <si>
    <t>5.7</t>
  </si>
  <si>
    <t>5.8</t>
  </si>
  <si>
    <t>5.9</t>
  </si>
  <si>
    <t>5.10</t>
  </si>
  <si>
    <t>5.11</t>
  </si>
  <si>
    <t>5.12</t>
  </si>
  <si>
    <t>5.13</t>
  </si>
  <si>
    <t>5.14</t>
  </si>
  <si>
    <t>5.15</t>
  </si>
  <si>
    <t>5.16</t>
  </si>
  <si>
    <t>D внутриенний диаметр статора</t>
  </si>
  <si>
    <t>Воздушный зазор по рисунку 11</t>
  </si>
  <si>
    <t>Зубцовое деление</t>
  </si>
  <si>
    <t>Число пазов ротора по таблице 8 Z2</t>
  </si>
  <si>
    <t>Наружний диаметр статора Da</t>
  </si>
  <si>
    <t>Внутренний диаметр ротора</t>
  </si>
  <si>
    <t>Kв по таблице 9</t>
  </si>
  <si>
    <t>Ток в стержне ротора</t>
  </si>
  <si>
    <t>коэффициент приведения токов в двигателе</t>
  </si>
  <si>
    <t>Площадь поперечного сечения стержня</t>
  </si>
  <si>
    <t>плотность тока в стержне ротора</t>
  </si>
  <si>
    <t>Допустимая ширина зуба</t>
  </si>
  <si>
    <t>Значение Bz2</t>
  </si>
  <si>
    <t>Размеры паза рисунок 13</t>
  </si>
  <si>
    <t>значение в1 для ротора</t>
  </si>
  <si>
    <t>значение в2 для ротора</t>
  </si>
  <si>
    <t>Значение в1 для статора</t>
  </si>
  <si>
    <t>Значение в2 для статора</t>
  </si>
  <si>
    <t>Внешний диаметр ротора D2</t>
  </si>
  <si>
    <t>значение hш'</t>
  </si>
  <si>
    <t>от в1</t>
  </si>
  <si>
    <t>Полная высота паза hп2</t>
  </si>
  <si>
    <t>Размеры короткозамыкающих колец</t>
  </si>
  <si>
    <t>Уточненная площадь сечения стержня qc</t>
  </si>
  <si>
    <t>Плотность тока в стержне J2</t>
  </si>
  <si>
    <t>Площадь поперечного сечения короткозамыкающих колец qкл</t>
  </si>
  <si>
    <t>значение h1 для ротора</t>
  </si>
  <si>
    <t>Iкл</t>
  </si>
  <si>
    <t>Δ</t>
  </si>
  <si>
    <t>плотность тока в короткозамыкающих кольцах Jкл</t>
  </si>
  <si>
    <t>акл</t>
  </si>
  <si>
    <t>средний диаметр короткозамыкающего кольца</t>
  </si>
  <si>
    <t>6.1</t>
  </si>
  <si>
    <t>6.2</t>
  </si>
  <si>
    <t>6.3</t>
  </si>
  <si>
    <t>6.4</t>
  </si>
  <si>
    <t>6.5</t>
  </si>
  <si>
    <t>6.6</t>
  </si>
  <si>
    <t>6.7</t>
  </si>
  <si>
    <t>6.8</t>
  </si>
  <si>
    <t>6.9</t>
  </si>
  <si>
    <t>6.10</t>
  </si>
  <si>
    <t>6.11</t>
  </si>
  <si>
    <t>6.12</t>
  </si>
  <si>
    <t>6.13</t>
  </si>
  <si>
    <t>Значения магнитных индукций в зубцах статора и ротора</t>
  </si>
  <si>
    <t>Bz1</t>
  </si>
  <si>
    <t>Bz2</t>
  </si>
  <si>
    <t>Индукция в ярме статора</t>
  </si>
  <si>
    <t>ha расчетная высота ярма статора</t>
  </si>
  <si>
    <t>Индукция в ярме ротора</t>
  </si>
  <si>
    <t>hj расчетная высота ярма ротора</t>
  </si>
  <si>
    <t>Магнитное напряжение воздушного зазора</t>
  </si>
  <si>
    <t>Магнитное напряжение зубцовой зоны статора</t>
  </si>
  <si>
    <t>Магнитное напряжение зубцовой зоны ротора</t>
  </si>
  <si>
    <t>hz2</t>
  </si>
  <si>
    <t>Коэффициент насыщения зубцовой зоны</t>
  </si>
  <si>
    <t>Магнитное напряжение ярма статора</t>
  </si>
  <si>
    <t>Магнитное напряжение ярма ротора</t>
  </si>
  <si>
    <t>Lj длина средней магнитной линии ярма ротора кроме двухполюсных</t>
  </si>
  <si>
    <t>Суммарное магнитное напряжение магнитной цепи</t>
  </si>
  <si>
    <t>Коэффициент насыщения магнитной цепи</t>
  </si>
  <si>
    <t>Намагничивающий ток</t>
  </si>
  <si>
    <t>Относительное значение магнитного тока</t>
  </si>
  <si>
    <t>Lj длина средней магнитной линии ярма ротора для двигателей 2p=2</t>
  </si>
  <si>
    <t>Значение Lj</t>
  </si>
  <si>
    <t>Ku</t>
  </si>
  <si>
    <t>Y1</t>
  </si>
  <si>
    <t>La длина средней магнитной линии ярма статора</t>
  </si>
  <si>
    <t>высота спинки ротора hj</t>
  </si>
  <si>
    <t>7.1</t>
  </si>
  <si>
    <t>7.2</t>
  </si>
  <si>
    <t>7.3</t>
  </si>
  <si>
    <t>7.4</t>
  </si>
  <si>
    <t>7.5</t>
  </si>
  <si>
    <t>7.6</t>
  </si>
  <si>
    <t>7.7</t>
  </si>
  <si>
    <t>7.8</t>
  </si>
  <si>
    <t>7.9</t>
  </si>
  <si>
    <t>7.10</t>
  </si>
  <si>
    <t>Активное сопротивление фазы обмотки статора</t>
  </si>
  <si>
    <t>L1 общая длина эффективных проводников фазы обмотки</t>
  </si>
  <si>
    <t>lср1 средняя длинавитка обмотки</t>
  </si>
  <si>
    <t>lл длина лобовой части витка</t>
  </si>
  <si>
    <t>втк средняя ширина витка</t>
  </si>
  <si>
    <t>Относительное значение сопротивления r1</t>
  </si>
  <si>
    <t>Активное сопротивление фазы обмотки ротора</t>
  </si>
  <si>
    <t>r2</t>
  </si>
  <si>
    <t>rc</t>
  </si>
  <si>
    <t>rкл</t>
  </si>
  <si>
    <t>Приведение r2 к числу витков обмотки статора</t>
  </si>
  <si>
    <t>Относительное значение r2/</t>
  </si>
  <si>
    <t>Индуктивное сопротивление фазы обмотки статора</t>
  </si>
  <si>
    <t>Hz1 по таблице 12 при Bz1</t>
  </si>
  <si>
    <t>Hz2 по таблице 12 при Bz2</t>
  </si>
  <si>
    <t>Значение Bj</t>
  </si>
  <si>
    <t>Ha по таблице 11 при Ba</t>
  </si>
  <si>
    <t>Hj по таблице 11 при Bj</t>
  </si>
  <si>
    <t>Значение Bz1</t>
  </si>
  <si>
    <t>Значение Ba</t>
  </si>
  <si>
    <t>Коэффициент Kл</t>
  </si>
  <si>
    <t>Длина вылета прямолинейной части секции паза</t>
  </si>
  <si>
    <t>p удельное сопротивление материала обмотки (медь)</t>
  </si>
  <si>
    <t>p удельное сопротивление материала стержня (алюминий литой)</t>
  </si>
  <si>
    <t>p удельное сопротивление материала к-х колец (алюминиевые шины)</t>
  </si>
  <si>
    <t>Dкл.ср</t>
  </si>
  <si>
    <t>Значение b при двухслойной обмотке с укороченным шагом</t>
  </si>
  <si>
    <t>Коэффициент Kb/</t>
  </si>
  <si>
    <t>Окончательное значение коэффициента Kb/</t>
  </si>
  <si>
    <t>Коэффициент Kb/ и коэффициент Kb</t>
  </si>
  <si>
    <t>Коэффициент Kb</t>
  </si>
  <si>
    <t>Lл1 коэффициент магнитной проводимости лобового рассеяния</t>
  </si>
  <si>
    <t>Lд1 коэффициент магнитной проводимости дифференциального рассеяния</t>
  </si>
  <si>
    <t>Относительное значение x1*</t>
  </si>
  <si>
    <t>Индуктивное сопротивление фазы обмотки ротора</t>
  </si>
  <si>
    <t>Значение h2</t>
  </si>
  <si>
    <t>Значение h3</t>
  </si>
  <si>
    <t>Значение h0</t>
  </si>
  <si>
    <t>Значение hш</t>
  </si>
  <si>
    <t>Значение b</t>
  </si>
  <si>
    <t>Значение bш</t>
  </si>
  <si>
    <t>Значение bп</t>
  </si>
  <si>
    <t>Значение Kck/</t>
  </si>
  <si>
    <t>Коэффициент скоса bck</t>
  </si>
  <si>
    <t>Приоткрытых пазах статора и отсутствии скоса пазов</t>
  </si>
  <si>
    <t>При полузакрытых или полуоткрытых пазах статора с учетом скоса пазов</t>
  </si>
  <si>
    <t>Значение Δz</t>
  </si>
  <si>
    <t>Окончательное значение коэффициента Kb</t>
  </si>
  <si>
    <t>Значение K/</t>
  </si>
  <si>
    <t>Значение t2/t1</t>
  </si>
  <si>
    <t>Значение bш/y</t>
  </si>
  <si>
    <t>Общие</t>
  </si>
  <si>
    <t>Статор</t>
  </si>
  <si>
    <t>Ротор</t>
  </si>
  <si>
    <t>Значение b1 (ротор)</t>
  </si>
  <si>
    <t>Значение b2 (ротор)</t>
  </si>
  <si>
    <t>Значение bш (ротор)</t>
  </si>
  <si>
    <t>Значение h1 (ротор)</t>
  </si>
  <si>
    <t>Значение hn (ротор)</t>
  </si>
  <si>
    <t>Значение hш (ротор)</t>
  </si>
  <si>
    <t>Значение b1 (статор)</t>
  </si>
  <si>
    <t>Значение b2 (статор)</t>
  </si>
  <si>
    <t>Значение bш (статор)</t>
  </si>
  <si>
    <t>Значение h1 (статор)</t>
  </si>
  <si>
    <t>Значение hn (статор)</t>
  </si>
  <si>
    <t>Значение hш (статор)</t>
  </si>
  <si>
    <t>Значение b'</t>
  </si>
  <si>
    <t>а</t>
  </si>
  <si>
    <t>б</t>
  </si>
  <si>
    <t>в</t>
  </si>
  <si>
    <t>г,д,з</t>
  </si>
  <si>
    <t>е,ж,и</t>
  </si>
  <si>
    <t>Значение коэффициента kb</t>
  </si>
  <si>
    <t>Значение</t>
  </si>
  <si>
    <t>значение вш (ротор) из 5.9</t>
  </si>
  <si>
    <t>значение hш (ротор) из 5.9</t>
  </si>
  <si>
    <t>высота шлица паза hш (статор)</t>
  </si>
  <si>
    <t>ширина шлица паза вш (статор)</t>
  </si>
  <si>
    <t>Lп1 коэффициент магнитной проводимости пазового рассеяния</t>
  </si>
  <si>
    <t>Окончательное значение коэффициента b</t>
  </si>
  <si>
    <t>Окончательное значение Е</t>
  </si>
  <si>
    <t>Значение Lд2</t>
  </si>
  <si>
    <t>Значение Lп2</t>
  </si>
  <si>
    <t>Значение E</t>
  </si>
  <si>
    <t>Значение Lл2</t>
  </si>
  <si>
    <t>Приведение x2 к числу витков статора</t>
  </si>
  <si>
    <t>Относительное значение</t>
  </si>
  <si>
    <t>Значение t1</t>
  </si>
  <si>
    <t>Значение t2</t>
  </si>
  <si>
    <t>Воздушный зазор</t>
  </si>
  <si>
    <t>Значение bш/t</t>
  </si>
  <si>
    <t>г</t>
  </si>
  <si>
    <t>д</t>
  </si>
  <si>
    <t>е</t>
  </si>
  <si>
    <t>ж</t>
  </si>
  <si>
    <t>8.1</t>
  </si>
  <si>
    <t>8.2</t>
  </si>
  <si>
    <t>8.3</t>
  </si>
  <si>
    <t>8.4</t>
  </si>
  <si>
    <t>8.5</t>
  </si>
  <si>
    <t>8.6</t>
  </si>
  <si>
    <t>8.7</t>
  </si>
  <si>
    <t>8.8</t>
  </si>
  <si>
    <t>8.9</t>
  </si>
  <si>
    <t>Потери в стали основные</t>
  </si>
  <si>
    <t>Пульсационные потери в зубцах ротора</t>
  </si>
  <si>
    <t>Сумма добавочных потерь в стали</t>
  </si>
  <si>
    <t>Полные потери в стали</t>
  </si>
  <si>
    <t>Добавочные потери при номинальном режиме</t>
  </si>
  <si>
    <t>Ток холостого хода двигателя</t>
  </si>
  <si>
    <t>Коэффициент мощности при холостом ходе</t>
  </si>
  <si>
    <t>9.1</t>
  </si>
  <si>
    <t>9.2</t>
  </si>
  <si>
    <t>9.3</t>
  </si>
  <si>
    <t>9.4</t>
  </si>
  <si>
    <t>10.1</t>
  </si>
  <si>
    <t>10.2</t>
  </si>
  <si>
    <t>10.3</t>
  </si>
  <si>
    <t>10.4</t>
  </si>
  <si>
    <t>10.5</t>
  </si>
  <si>
    <t>10.6</t>
  </si>
  <si>
    <t>10.7</t>
  </si>
  <si>
    <t>10.8</t>
  </si>
  <si>
    <t>10.9</t>
  </si>
  <si>
    <t>10.10</t>
  </si>
  <si>
    <t>10.11</t>
  </si>
  <si>
    <t>10.12</t>
  </si>
  <si>
    <t>10.13</t>
  </si>
  <si>
    <t>10.14</t>
  </si>
  <si>
    <t>10.15</t>
  </si>
  <si>
    <t>10.16</t>
  </si>
  <si>
    <t>10.17</t>
  </si>
  <si>
    <t>10.18</t>
  </si>
  <si>
    <t>10.19</t>
  </si>
  <si>
    <t>10.20</t>
  </si>
  <si>
    <t>10.21</t>
  </si>
  <si>
    <t>10.22</t>
  </si>
  <si>
    <t>10.23</t>
  </si>
  <si>
    <t>10.24</t>
  </si>
  <si>
    <t>10.25</t>
  </si>
  <si>
    <t>10.26</t>
  </si>
  <si>
    <t>11.1</t>
  </si>
  <si>
    <t>11.2</t>
  </si>
  <si>
    <t>11.3</t>
  </si>
  <si>
    <t>11.4</t>
  </si>
  <si>
    <t>11.5</t>
  </si>
  <si>
    <t>11.6</t>
  </si>
  <si>
    <t>11.7</t>
  </si>
  <si>
    <t>11.8</t>
  </si>
  <si>
    <t>11.9</t>
  </si>
  <si>
    <t>11.10</t>
  </si>
  <si>
    <t>Параметры из схемы замещения фазы обмотки машины</t>
  </si>
  <si>
    <t>Формулы для расчета рабочих характеристик приведены в таблице 17</t>
  </si>
  <si>
    <t>Расчетные величины для расчета (таблице 17)</t>
  </si>
  <si>
    <t>Активная составляющая тока холостого хода</t>
  </si>
  <si>
    <t>Расчетные точки характеристик определяются и заносятся в таблицу 18</t>
  </si>
  <si>
    <t>Критическое скольжение</t>
  </si>
  <si>
    <t>Параметры с учетом вытеснения тока</t>
  </si>
  <si>
    <t>величина по рисунку 20</t>
  </si>
  <si>
    <t>Глубина проникновения тока в стержень</t>
  </si>
  <si>
    <t>Коэффициент определяющий отношение площади всего сечения стержня</t>
  </si>
  <si>
    <t>Коэффициент общего увеличения сопротивления фазы ротора</t>
  </si>
  <si>
    <t>Приведенное активное сопротивление ротора с учетом эффекта вытеснения тока</t>
  </si>
  <si>
    <t>Площадь сечения стержня, ограниченная величиной</t>
  </si>
  <si>
    <t>Коэффициент, учитывающий изменения индуктивного сопротивления</t>
  </si>
  <si>
    <t>Приведенное индуктивное сопротивление фазы обмотки ротора</t>
  </si>
  <si>
    <t>Ток ротора без учета влияния насыщения магнитопровода полями рассеяния</t>
  </si>
  <si>
    <t>Средняя МДС обмотки, отнесенная к одному пазу обмотки статора</t>
  </si>
  <si>
    <t>Фиктивная индукция потока рассеяния в воздушном зазоре</t>
  </si>
  <si>
    <t>По рисунку 22 определяется коэффициент</t>
  </si>
  <si>
    <t>Коэффициент магнитной проводимости пазового рассеяния (ротор)</t>
  </si>
  <si>
    <t xml:space="preserve">Коэффициент магнитной проводимости пазового рассеяния обмотки статора </t>
  </si>
  <si>
    <t>Коэффициент магнитной проводимости дифференциального рассеяния обмотки статора</t>
  </si>
  <si>
    <t>Индуктивное сопротивление фазы обмотки статора с учетом насыщения</t>
  </si>
  <si>
    <t>Коэффициент магнитной проводимости пазового рассеяния ротора</t>
  </si>
  <si>
    <t>Коэффициент магнитной проводимости дифференциального рассеяния ротора</t>
  </si>
  <si>
    <t>Сопротивление взаимной индукции обмоток в пусковом режиме</t>
  </si>
  <si>
    <t>Ток в обмотке ротора и статора</t>
  </si>
  <si>
    <t>Относительное значение тока</t>
  </si>
  <si>
    <t>Относительное значение момента</t>
  </si>
  <si>
    <t>Действительное критическое скольжение</t>
  </si>
  <si>
    <t>Превышение температуры поверхности статора над температурой воздуха</t>
  </si>
  <si>
    <t>Перепад температуры в изоляции пазовой части обмотки ротора</t>
  </si>
  <si>
    <t>Перепад температуры по толщине изоляции лобовых частей обмотки ротора</t>
  </si>
  <si>
    <t>Превышение температуры поверхности над температурой воздуха внутри машины</t>
  </si>
  <si>
    <t>Среднее превышение температуры обмотки статора над температурой внутри машины</t>
  </si>
  <si>
    <t>Превышение температуры воздуха машины над температурой окружающей среды</t>
  </si>
  <si>
    <t>Среднее превышение температуры статора над температурой окружающей среды</t>
  </si>
  <si>
    <t>Вентиляционный расчет заключается в сопоставлении расхода воздуха</t>
  </si>
  <si>
    <t>Фактический расход воздуха, получаемый с помощью вентилятора</t>
  </si>
  <si>
    <t>Сопоставление требуемого и получаемого расхода воздуха</t>
  </si>
  <si>
    <t>Ko2</t>
  </si>
  <si>
    <t>Bо2</t>
  </si>
  <si>
    <t>Kда</t>
  </si>
  <si>
    <t>Кдz</t>
  </si>
  <si>
    <t>yc</t>
  </si>
  <si>
    <t>Kc</t>
  </si>
  <si>
    <t>B показатель степени (по таблице 16)</t>
  </si>
  <si>
    <t>p1,0/5,0 (по таблице 16)</t>
  </si>
  <si>
    <t>масса стали ярма</t>
  </si>
  <si>
    <t>масса стали зубцов статора</t>
  </si>
  <si>
    <t>bz1 средняя ширина зубца статора</t>
  </si>
  <si>
    <t>Значение Ixxa</t>
  </si>
  <si>
    <t>Электрические потери в статоре при холостом ходе</t>
  </si>
  <si>
    <t>Значение r12</t>
  </si>
  <si>
    <t>Значение x12</t>
  </si>
  <si>
    <t>Значение c1</t>
  </si>
  <si>
    <t>высота стержня в пазу</t>
  </si>
  <si>
    <t>Окончательное значение qr</t>
  </si>
  <si>
    <t>Поверхностные потери в роторе Pпов</t>
  </si>
  <si>
    <t>pпов удельные поверхностные потери ротора</t>
  </si>
  <si>
    <t>Впул2</t>
  </si>
  <si>
    <t>mz2</t>
  </si>
  <si>
    <t>Значение Kт</t>
  </si>
  <si>
    <t>Механические потери для двигателей со степенью защиты IP23</t>
  </si>
  <si>
    <t>Механические потери для двигателей со степенью защиты IP44</t>
  </si>
  <si>
    <t>Формула для расчета</t>
  </si>
  <si>
    <t>Формуа для расчета</t>
  </si>
  <si>
    <t>условная длина</t>
  </si>
  <si>
    <t>станины</t>
  </si>
  <si>
    <t>или сердечника</t>
  </si>
  <si>
    <t>Число полюсов</t>
  </si>
  <si>
    <t>Габаритные размеры,</t>
  </si>
  <si>
    <t>Установочные и присоединительные разме­ры, мм</t>
  </si>
  <si>
    <t>2; 4</t>
  </si>
  <si>
    <t>—</t>
  </si>
  <si>
    <t>2; 4; 6</t>
  </si>
  <si>
    <t>164;</t>
  </si>
  <si>
    <t>80А</t>
  </si>
  <si>
    <t>80В</t>
  </si>
  <si>
    <t>90L</t>
  </si>
  <si>
    <t>218 - 240</t>
  </si>
  <si>
    <t>201 - 223</t>
  </si>
  <si>
    <t>100S</t>
  </si>
  <si>
    <t>--</t>
  </si>
  <si>
    <t>100L</t>
  </si>
  <si>
    <t>112M</t>
  </si>
  <si>
    <t>132S</t>
  </si>
  <si>
    <t>4,6,8</t>
  </si>
  <si>
    <t>132M</t>
  </si>
  <si>
    <t>160S</t>
  </si>
  <si>
    <t>160M</t>
  </si>
  <si>
    <t>180S</t>
  </si>
  <si>
    <t>180M</t>
  </si>
  <si>
    <t>200M</t>
  </si>
  <si>
    <t>200L</t>
  </si>
  <si>
    <t>225M</t>
  </si>
  <si>
    <t>250S</t>
  </si>
  <si>
    <t>4,6,</t>
  </si>
  <si>
    <t>250M</t>
  </si>
  <si>
    <r>
      <t>l</t>
    </r>
    <r>
      <rPr>
        <vertAlign val="subscript"/>
        <sz val="14"/>
        <color theme="1"/>
        <rFont val="Times New Roman"/>
        <family val="1"/>
        <charset val="204"/>
      </rPr>
      <t>30</t>
    </r>
  </si>
  <si>
    <r>
      <t>h</t>
    </r>
    <r>
      <rPr>
        <vertAlign val="subscript"/>
        <sz val="14"/>
        <color theme="1"/>
        <rFont val="Times New Roman"/>
        <family val="1"/>
        <charset val="204"/>
      </rPr>
      <t>31</t>
    </r>
  </si>
  <si>
    <r>
      <t>d</t>
    </r>
    <r>
      <rPr>
        <vertAlign val="subscript"/>
        <sz val="14"/>
        <color theme="1"/>
        <rFont val="Times New Roman"/>
        <family val="1"/>
        <charset val="204"/>
      </rPr>
      <t>31</t>
    </r>
  </si>
  <si>
    <r>
      <t>l</t>
    </r>
    <r>
      <rPr>
        <vertAlign val="subscript"/>
        <sz val="14"/>
        <color theme="1"/>
        <rFont val="Times New Roman"/>
        <family val="1"/>
        <charset val="204"/>
      </rPr>
      <t>1</t>
    </r>
  </si>
  <si>
    <r>
      <t>l</t>
    </r>
    <r>
      <rPr>
        <vertAlign val="subscript"/>
        <sz val="14"/>
        <color theme="1"/>
        <rFont val="Times New Roman"/>
        <family val="1"/>
        <charset val="204"/>
      </rPr>
      <t>2</t>
    </r>
  </si>
  <si>
    <r>
      <t>l</t>
    </r>
    <r>
      <rPr>
        <vertAlign val="subscript"/>
        <sz val="14"/>
        <color theme="1"/>
        <rFont val="Times New Roman"/>
        <family val="1"/>
        <charset val="204"/>
      </rPr>
      <t>10</t>
    </r>
  </si>
  <si>
    <r>
      <t>l</t>
    </r>
    <r>
      <rPr>
        <vertAlign val="subscript"/>
        <sz val="14"/>
        <color theme="1"/>
        <rFont val="Times New Roman"/>
        <family val="1"/>
        <charset val="204"/>
      </rPr>
      <t>11</t>
    </r>
  </si>
  <si>
    <r>
      <t>l</t>
    </r>
    <r>
      <rPr>
        <vertAlign val="subscript"/>
        <sz val="14"/>
        <color theme="1"/>
        <rFont val="Times New Roman"/>
        <family val="1"/>
        <charset val="204"/>
      </rPr>
      <t>12</t>
    </r>
  </si>
  <si>
    <r>
      <t>l</t>
    </r>
    <r>
      <rPr>
        <vertAlign val="subscript"/>
        <sz val="14"/>
        <color theme="1"/>
        <rFont val="Times New Roman"/>
        <family val="1"/>
        <charset val="204"/>
      </rPr>
      <t>31</t>
    </r>
  </si>
  <si>
    <r>
      <t>l</t>
    </r>
    <r>
      <rPr>
        <vertAlign val="subscript"/>
        <sz val="14"/>
        <color theme="1"/>
        <rFont val="Times New Roman"/>
        <family val="1"/>
        <charset val="204"/>
      </rPr>
      <t>34</t>
    </r>
  </si>
  <si>
    <t>Высота оси вращения, условная длинна станины или сердечника</t>
  </si>
  <si>
    <t>Установочные и присоединительные  размеры, мм</t>
  </si>
  <si>
    <t>h</t>
  </si>
  <si>
    <t>2,4,6</t>
  </si>
  <si>
    <t>86/110</t>
  </si>
  <si>
    <t>80A</t>
  </si>
  <si>
    <t>80B</t>
  </si>
  <si>
    <t>205.5</t>
  </si>
  <si>
    <r>
      <t>l</t>
    </r>
    <r>
      <rPr>
        <vertAlign val="subscript"/>
        <sz val="14"/>
        <color theme="1"/>
        <rFont val="Times New Roman"/>
        <family val="1"/>
        <charset val="204"/>
      </rPr>
      <t>36</t>
    </r>
  </si>
  <si>
    <r>
      <t>l</t>
    </r>
    <r>
      <rPr>
        <vertAlign val="subscript"/>
        <sz val="14"/>
        <color theme="1"/>
        <rFont val="Times New Roman"/>
        <family val="1"/>
        <charset val="204"/>
      </rPr>
      <t>51</t>
    </r>
  </si>
  <si>
    <r>
      <t>b</t>
    </r>
    <r>
      <rPr>
        <vertAlign val="subscript"/>
        <sz val="14"/>
        <color theme="1"/>
        <rFont val="Times New Roman"/>
        <family val="1"/>
        <charset val="204"/>
      </rPr>
      <t>1</t>
    </r>
  </si>
  <si>
    <r>
      <t>b</t>
    </r>
    <r>
      <rPr>
        <vertAlign val="subscript"/>
        <sz val="14"/>
        <color theme="1"/>
        <rFont val="Times New Roman"/>
        <family val="1"/>
        <charset val="204"/>
      </rPr>
      <t>2</t>
    </r>
  </si>
  <si>
    <r>
      <t>b</t>
    </r>
    <r>
      <rPr>
        <vertAlign val="subscript"/>
        <sz val="14"/>
        <color theme="1"/>
        <rFont val="Times New Roman"/>
        <family val="1"/>
        <charset val="204"/>
      </rPr>
      <t>10</t>
    </r>
  </si>
  <si>
    <r>
      <t>b</t>
    </r>
    <r>
      <rPr>
        <vertAlign val="subscript"/>
        <sz val="14"/>
        <color theme="1"/>
        <rFont val="Times New Roman"/>
        <family val="1"/>
        <charset val="204"/>
      </rPr>
      <t>11</t>
    </r>
  </si>
  <si>
    <r>
      <t>b</t>
    </r>
    <r>
      <rPr>
        <vertAlign val="subscript"/>
        <sz val="14"/>
        <color theme="1"/>
        <rFont val="Times New Roman"/>
        <family val="1"/>
        <charset val="204"/>
      </rPr>
      <t>12</t>
    </r>
  </si>
  <si>
    <r>
      <t>b</t>
    </r>
    <r>
      <rPr>
        <vertAlign val="subscript"/>
        <sz val="14"/>
        <color theme="1"/>
        <rFont val="Times New Roman"/>
        <family val="1"/>
        <charset val="204"/>
      </rPr>
      <t>31</t>
    </r>
  </si>
  <si>
    <r>
      <t>b</t>
    </r>
    <r>
      <rPr>
        <vertAlign val="subscript"/>
        <sz val="14"/>
        <color theme="1"/>
        <rFont val="Times New Roman"/>
        <family val="1"/>
        <charset val="204"/>
      </rPr>
      <t>34</t>
    </r>
  </si>
  <si>
    <t>86|110</t>
  </si>
  <si>
    <t>2,4,6,8</t>
  </si>
  <si>
    <t>4,6,8,10</t>
  </si>
  <si>
    <t>Масса</t>
  </si>
  <si>
    <t>кг</t>
  </si>
  <si>
    <r>
      <t>h</t>
    </r>
    <r>
      <rPr>
        <vertAlign val="subscript"/>
        <sz val="10"/>
        <color theme="1"/>
        <rFont val="Times New Roman"/>
        <family val="1"/>
        <charset val="204"/>
      </rPr>
      <t>1</t>
    </r>
  </si>
  <si>
    <r>
      <t>h</t>
    </r>
    <r>
      <rPr>
        <vertAlign val="subscript"/>
        <sz val="10"/>
        <color theme="1"/>
        <rFont val="Times New Roman"/>
        <family val="1"/>
        <charset val="204"/>
      </rPr>
      <t>2</t>
    </r>
  </si>
  <si>
    <r>
      <t>h</t>
    </r>
    <r>
      <rPr>
        <vertAlign val="subscript"/>
        <sz val="10"/>
        <color theme="1"/>
        <rFont val="Times New Roman"/>
        <family val="1"/>
        <charset val="204"/>
      </rPr>
      <t>5</t>
    </r>
  </si>
  <si>
    <r>
      <t>h</t>
    </r>
    <r>
      <rPr>
        <vertAlign val="subscript"/>
        <sz val="10"/>
        <color theme="1"/>
        <rFont val="Times New Roman"/>
        <family val="1"/>
        <charset val="204"/>
      </rPr>
      <t>10</t>
    </r>
  </si>
  <si>
    <r>
      <t>h</t>
    </r>
    <r>
      <rPr>
        <vertAlign val="subscript"/>
        <sz val="10"/>
        <color theme="1"/>
        <rFont val="Times New Roman"/>
        <family val="1"/>
        <charset val="204"/>
      </rPr>
      <t>34</t>
    </r>
  </si>
  <si>
    <r>
      <t>d</t>
    </r>
    <r>
      <rPr>
        <vertAlign val="subscript"/>
        <sz val="10"/>
        <color theme="1"/>
        <rFont val="Times New Roman"/>
        <family val="1"/>
        <charset val="204"/>
      </rPr>
      <t>1</t>
    </r>
  </si>
  <si>
    <r>
      <t>d</t>
    </r>
    <r>
      <rPr>
        <vertAlign val="subscript"/>
        <sz val="10"/>
        <color theme="1"/>
        <rFont val="Times New Roman"/>
        <family val="1"/>
        <charset val="204"/>
      </rPr>
      <t>10</t>
    </r>
  </si>
  <si>
    <r>
      <t>d</t>
    </r>
    <r>
      <rPr>
        <vertAlign val="subscript"/>
        <sz val="10"/>
        <color theme="1"/>
        <rFont val="Times New Roman"/>
        <family val="1"/>
        <charset val="204"/>
      </rPr>
      <t>2</t>
    </r>
  </si>
  <si>
    <r>
      <t>h</t>
    </r>
    <r>
      <rPr>
        <vertAlign val="subscript"/>
        <sz val="10"/>
        <color theme="1"/>
        <rFont val="Times New Roman"/>
        <family val="1"/>
        <charset val="204"/>
      </rPr>
      <t>6</t>
    </r>
  </si>
  <si>
    <t>169/181</t>
  </si>
  <si>
    <t>186/198</t>
  </si>
  <si>
    <t>211/218</t>
  </si>
  <si>
    <t>110</t>
  </si>
  <si>
    <t>2; 4;</t>
  </si>
  <si>
    <t>6; 8</t>
  </si>
  <si>
    <t>112М</t>
  </si>
  <si>
    <t>4; 6; 8</t>
  </si>
  <si>
    <t>132М</t>
  </si>
  <si>
    <t>2; 4; 6; 8</t>
  </si>
  <si>
    <t>160М</t>
  </si>
  <si>
    <t>180М</t>
  </si>
  <si>
    <t>200М</t>
  </si>
  <si>
    <t>225М</t>
  </si>
  <si>
    <t>4; 6; 8;  10</t>
  </si>
  <si>
    <t>250М</t>
  </si>
  <si>
    <t>двигателя</t>
  </si>
  <si>
    <t>Габаритные и установочные размеры, мм</t>
  </si>
  <si>
    <r>
      <t>d</t>
    </r>
    <r>
      <rPr>
        <vertAlign val="subscript"/>
        <sz val="10"/>
        <color theme="1"/>
        <rFont val="Times New Roman"/>
        <family val="1"/>
        <charset val="204"/>
      </rPr>
      <t>30</t>
    </r>
  </si>
  <si>
    <r>
      <t>d*</t>
    </r>
    <r>
      <rPr>
        <vertAlign val="subscript"/>
        <sz val="10"/>
        <color theme="1"/>
        <rFont val="Times New Roman"/>
        <family val="1"/>
        <charset val="204"/>
      </rPr>
      <t>30</t>
    </r>
  </si>
  <si>
    <r>
      <t>d</t>
    </r>
    <r>
      <rPr>
        <vertAlign val="subscript"/>
        <sz val="10"/>
        <color theme="1"/>
        <rFont val="Times New Roman"/>
        <family val="1"/>
        <charset val="204"/>
      </rPr>
      <t>35</t>
    </r>
  </si>
  <si>
    <r>
      <t>d</t>
    </r>
    <r>
      <rPr>
        <vertAlign val="subscript"/>
        <sz val="10"/>
        <color theme="1"/>
        <rFont val="Times New Roman"/>
        <family val="1"/>
        <charset val="204"/>
      </rPr>
      <t>36</t>
    </r>
  </si>
  <si>
    <r>
      <t>d</t>
    </r>
    <r>
      <rPr>
        <vertAlign val="subscript"/>
        <sz val="10"/>
        <color theme="1"/>
        <rFont val="Times New Roman"/>
        <family val="1"/>
        <charset val="204"/>
      </rPr>
      <t>37</t>
    </r>
  </si>
  <si>
    <r>
      <t>d*</t>
    </r>
    <r>
      <rPr>
        <vertAlign val="subscript"/>
        <sz val="10"/>
        <color theme="1"/>
        <rFont val="Times New Roman"/>
        <family val="1"/>
        <charset val="204"/>
      </rPr>
      <t>38</t>
    </r>
  </si>
  <si>
    <r>
      <t>l</t>
    </r>
    <r>
      <rPr>
        <vertAlign val="subscript"/>
        <sz val="10"/>
        <color theme="1"/>
        <rFont val="Times New Roman"/>
        <family val="1"/>
        <charset val="204"/>
      </rPr>
      <t>52</t>
    </r>
  </si>
  <si>
    <r>
      <t>l</t>
    </r>
    <r>
      <rPr>
        <vertAlign val="subscript"/>
        <sz val="10"/>
        <color theme="1"/>
        <rFont val="Times New Roman"/>
        <family val="1"/>
        <charset val="204"/>
      </rPr>
      <t>53</t>
    </r>
  </si>
  <si>
    <r>
      <t>l</t>
    </r>
    <r>
      <rPr>
        <vertAlign val="subscript"/>
        <sz val="10"/>
        <color theme="1"/>
        <rFont val="Times New Roman"/>
        <family val="1"/>
        <charset val="204"/>
      </rPr>
      <t>54</t>
    </r>
  </si>
  <si>
    <r>
      <t>l</t>
    </r>
    <r>
      <rPr>
        <vertAlign val="subscript"/>
        <sz val="10"/>
        <color theme="1"/>
        <rFont val="Times New Roman"/>
        <family val="1"/>
        <charset val="204"/>
      </rPr>
      <t>55</t>
    </r>
  </si>
  <si>
    <r>
      <t>l</t>
    </r>
    <r>
      <rPr>
        <vertAlign val="subscript"/>
        <sz val="10"/>
        <color theme="1"/>
        <rFont val="Times New Roman"/>
        <family val="1"/>
        <charset val="204"/>
      </rPr>
      <t>56</t>
    </r>
  </si>
  <si>
    <t>4AB71A2</t>
  </si>
  <si>
    <t>M6</t>
  </si>
  <si>
    <t>4AB71B2</t>
  </si>
  <si>
    <t>4AB71A4</t>
  </si>
  <si>
    <t>4AB71B4</t>
  </si>
  <si>
    <t>4AB71A6</t>
  </si>
  <si>
    <t>4AB71B6</t>
  </si>
  <si>
    <t>4AB71B8</t>
  </si>
  <si>
    <t>4AB80A2</t>
  </si>
  <si>
    <t>4AB80B2</t>
  </si>
  <si>
    <t>4AB80A4</t>
  </si>
  <si>
    <t>4AB80B4</t>
  </si>
  <si>
    <t>4AB80A6</t>
  </si>
  <si>
    <t>4AB80B6</t>
  </si>
  <si>
    <t>4AB80A8</t>
  </si>
  <si>
    <t>4AB80B8</t>
  </si>
  <si>
    <t>4AB90A2</t>
  </si>
  <si>
    <t>4AB90A4</t>
  </si>
  <si>
    <t>4AB90A6</t>
  </si>
  <si>
    <t>4AB90A8</t>
  </si>
  <si>
    <t>4AB90B8</t>
  </si>
  <si>
    <t>4AB100A2</t>
  </si>
  <si>
    <t>4AB100B2</t>
  </si>
  <si>
    <t>4AB100A4</t>
  </si>
  <si>
    <t>4AB100B4</t>
  </si>
  <si>
    <t>4AB100B6</t>
  </si>
  <si>
    <t>4AB112A2</t>
  </si>
  <si>
    <t>4AB112A4</t>
  </si>
  <si>
    <t>4AB112A6</t>
  </si>
  <si>
    <t>4AB112B6</t>
  </si>
  <si>
    <t>4AB112A8</t>
  </si>
  <si>
    <t>4AB112B8</t>
  </si>
  <si>
    <t>4AB132A2</t>
  </si>
  <si>
    <t>4AB132A4</t>
  </si>
  <si>
    <t>4AB132B4</t>
  </si>
  <si>
    <t>4AB132A6</t>
  </si>
  <si>
    <t>4AB132B6</t>
  </si>
  <si>
    <t>4AB132A8</t>
  </si>
  <si>
    <t>4AB132B8</t>
  </si>
  <si>
    <t>4AB71A4/2</t>
  </si>
  <si>
    <t>4AB71B4/2</t>
  </si>
  <si>
    <t>4AB8A4/2</t>
  </si>
  <si>
    <t>4AB90A4/2</t>
  </si>
  <si>
    <t>4AB90B4/2</t>
  </si>
  <si>
    <t>4AB90B6/4</t>
  </si>
  <si>
    <t>4AB90B8/4</t>
  </si>
  <si>
    <t>4AB100A4/2</t>
  </si>
  <si>
    <t>4AB100B4/2</t>
  </si>
  <si>
    <t>4AB100A6/4</t>
  </si>
  <si>
    <t>4A100B6/4</t>
  </si>
  <si>
    <t>4AB100A8/4</t>
  </si>
  <si>
    <t>4AB100B8/4</t>
  </si>
  <si>
    <t>4AB100A8/6</t>
  </si>
  <si>
    <t>4AB100B8/6</t>
  </si>
  <si>
    <t>4AB100A6/4/2</t>
  </si>
  <si>
    <t>4AB100B6/4/2</t>
  </si>
  <si>
    <t>4AB100A8/4/2</t>
  </si>
  <si>
    <t>4AB100B8/4/2</t>
  </si>
  <si>
    <t>4AB100A8/6/4</t>
  </si>
  <si>
    <t>4AB100B8/6/4</t>
  </si>
  <si>
    <t>4AB100A8/6/4/2</t>
  </si>
  <si>
    <t>4AB100B8/6/4/2</t>
  </si>
  <si>
    <t>Типоразмер электродвигателя</t>
  </si>
  <si>
    <r>
      <t>l</t>
    </r>
    <r>
      <rPr>
        <vertAlign val="subscript"/>
        <sz val="10"/>
        <color theme="1"/>
        <rFont val="Times New Roman"/>
        <family val="1"/>
        <charset val="204"/>
      </rPr>
      <t>5</t>
    </r>
  </si>
  <si>
    <r>
      <t>b</t>
    </r>
    <r>
      <rPr>
        <vertAlign val="subscript"/>
        <sz val="10"/>
        <color theme="1"/>
        <rFont val="Times New Roman"/>
        <family val="1"/>
        <charset val="204"/>
      </rPr>
      <t>35</t>
    </r>
  </si>
  <si>
    <r>
      <t>d</t>
    </r>
    <r>
      <rPr>
        <vertAlign val="subscript"/>
        <sz val="10"/>
        <color theme="1"/>
        <rFont val="Times New Roman"/>
        <family val="1"/>
        <charset val="204"/>
      </rPr>
      <t>40</t>
    </r>
  </si>
  <si>
    <r>
      <t>d*</t>
    </r>
    <r>
      <rPr>
        <vertAlign val="subscript"/>
        <sz val="10"/>
        <color theme="1"/>
        <rFont val="Times New Roman"/>
        <family val="1"/>
        <charset val="204"/>
      </rPr>
      <t>40</t>
    </r>
  </si>
  <si>
    <r>
      <t>l</t>
    </r>
    <r>
      <rPr>
        <vertAlign val="subscript"/>
        <sz val="10"/>
        <color theme="1"/>
        <rFont val="Times New Roman"/>
        <family val="1"/>
        <charset val="204"/>
      </rPr>
      <t>57</t>
    </r>
  </si>
  <si>
    <r>
      <t>l</t>
    </r>
    <r>
      <rPr>
        <vertAlign val="subscript"/>
        <sz val="10"/>
        <color theme="1"/>
        <rFont val="Times New Roman"/>
        <family val="1"/>
        <charset val="204"/>
      </rPr>
      <t>58</t>
    </r>
  </si>
  <si>
    <t>4AB56A2</t>
  </si>
  <si>
    <t>4AB56B2</t>
  </si>
  <si>
    <t>4AB56A4</t>
  </si>
  <si>
    <t>4AB56B4</t>
  </si>
  <si>
    <t>4AB63A2</t>
  </si>
  <si>
    <t>4AB63B2</t>
  </si>
  <si>
    <t>4AB63A4</t>
  </si>
  <si>
    <t>4AB63B4</t>
  </si>
  <si>
    <t>4AB63A6</t>
  </si>
  <si>
    <t>4AB63B6</t>
  </si>
  <si>
    <t>Типоразмер электро</t>
  </si>
  <si>
    <r>
      <t>Расход воздуха, м</t>
    </r>
    <r>
      <rPr>
        <vertAlign val="superscript"/>
        <sz val="10"/>
        <color theme="1"/>
        <rFont val="Times New Roman"/>
        <family val="1"/>
        <charset val="204"/>
      </rPr>
      <t>2</t>
    </r>
    <r>
      <rPr>
        <sz val="10"/>
        <color theme="1"/>
        <rFont val="Times New Roman"/>
        <family val="1"/>
        <charset val="204"/>
      </rPr>
      <t>/с, не менее</t>
    </r>
  </si>
  <si>
    <r>
      <t>Сечение отверстий для входа и выхода воздуха, м</t>
    </r>
    <r>
      <rPr>
        <vertAlign val="superscript"/>
        <sz val="10"/>
        <color theme="1"/>
        <rFont val="Times New Roman"/>
        <family val="1"/>
        <charset val="204"/>
      </rPr>
      <t>2</t>
    </r>
  </si>
  <si>
    <t>Масса, кг</t>
  </si>
  <si>
    <t>Вентилятор</t>
  </si>
  <si>
    <r>
      <t>Q</t>
    </r>
    <r>
      <rPr>
        <vertAlign val="subscript"/>
        <sz val="10"/>
        <color theme="1"/>
        <rFont val="Times New Roman"/>
        <family val="1"/>
        <charset val="204"/>
      </rPr>
      <t>1</t>
    </r>
  </si>
  <si>
    <r>
      <t>Q</t>
    </r>
    <r>
      <rPr>
        <vertAlign val="subscript"/>
        <sz val="10"/>
        <color theme="1"/>
        <rFont val="Times New Roman"/>
        <family val="1"/>
        <charset val="204"/>
      </rPr>
      <t>2</t>
    </r>
  </si>
  <si>
    <r>
      <t>d</t>
    </r>
    <r>
      <rPr>
        <vertAlign val="subscript"/>
        <sz val="10"/>
        <color theme="1"/>
        <rFont val="Times New Roman"/>
        <family val="1"/>
        <charset val="204"/>
      </rPr>
      <t>41</t>
    </r>
  </si>
  <si>
    <r>
      <t>d</t>
    </r>
    <r>
      <rPr>
        <vertAlign val="subscript"/>
        <sz val="10"/>
        <color theme="1"/>
        <rFont val="Times New Roman"/>
        <family val="1"/>
        <charset val="204"/>
      </rPr>
      <t>43</t>
    </r>
  </si>
  <si>
    <r>
      <t>d*</t>
    </r>
    <r>
      <rPr>
        <vertAlign val="subscript"/>
        <sz val="10"/>
        <color theme="1"/>
        <rFont val="Times New Roman"/>
        <family val="1"/>
        <charset val="204"/>
      </rPr>
      <t>43</t>
    </r>
  </si>
  <si>
    <r>
      <t>h</t>
    </r>
    <r>
      <rPr>
        <vertAlign val="subscript"/>
        <sz val="10"/>
        <color theme="1"/>
        <rFont val="Times New Roman"/>
        <family val="1"/>
        <charset val="204"/>
      </rPr>
      <t>37</t>
    </r>
  </si>
  <si>
    <t>Типоразмерэлектродвигателя</t>
  </si>
  <si>
    <r>
      <t>b</t>
    </r>
    <r>
      <rPr>
        <vertAlign val="subscript"/>
        <sz val="10"/>
        <color theme="1"/>
        <rFont val="Times New Roman"/>
        <family val="1"/>
        <charset val="204"/>
      </rPr>
      <t>34</t>
    </r>
  </si>
  <si>
    <r>
      <t>d*</t>
    </r>
    <r>
      <rPr>
        <vertAlign val="subscript"/>
        <sz val="10"/>
        <color theme="1"/>
        <rFont val="Times New Roman"/>
        <family val="1"/>
        <charset val="204"/>
      </rPr>
      <t>39</t>
    </r>
  </si>
  <si>
    <r>
      <t>b</t>
    </r>
    <r>
      <rPr>
        <vertAlign val="subscript"/>
        <sz val="10"/>
        <color theme="1"/>
        <rFont val="Times New Roman"/>
        <family val="1"/>
        <charset val="204"/>
      </rPr>
      <t>36</t>
    </r>
  </si>
  <si>
    <r>
      <t>h</t>
    </r>
    <r>
      <rPr>
        <vertAlign val="subscript"/>
        <sz val="10"/>
        <color theme="1"/>
        <rFont val="Times New Roman"/>
        <family val="1"/>
        <charset val="204"/>
      </rPr>
      <t>38</t>
    </r>
  </si>
  <si>
    <t>4AB100B8</t>
  </si>
  <si>
    <t>4AB80A4/2</t>
  </si>
  <si>
    <t>4AB100B6/4</t>
  </si>
  <si>
    <r>
      <t>Расход воздуха, м</t>
    </r>
    <r>
      <rPr>
        <vertAlign val="superscript"/>
        <sz val="9"/>
        <color theme="1"/>
        <rFont val="Times New Roman"/>
        <family val="1"/>
        <charset val="204"/>
      </rPr>
      <t>3</t>
    </r>
    <r>
      <rPr>
        <sz val="9"/>
        <color theme="1"/>
        <rFont val="Times New Roman"/>
        <family val="1"/>
        <charset val="204"/>
      </rPr>
      <t>/с, не менее</t>
    </r>
  </si>
  <si>
    <r>
      <t>Сечение отверстий для входа и выхода воздуха, м</t>
    </r>
    <r>
      <rPr>
        <vertAlign val="superscript"/>
        <sz val="9"/>
        <color theme="1"/>
        <rFont val="Times New Roman"/>
        <family val="1"/>
        <charset val="204"/>
      </rPr>
      <t>2</t>
    </r>
  </si>
  <si>
    <r>
      <t>Q</t>
    </r>
    <r>
      <rPr>
        <vertAlign val="subscript"/>
        <sz val="9"/>
        <color theme="1"/>
        <rFont val="Times New Roman"/>
        <family val="1"/>
        <charset val="204"/>
      </rPr>
      <t>1</t>
    </r>
  </si>
  <si>
    <r>
      <t>Q</t>
    </r>
    <r>
      <rPr>
        <vertAlign val="subscript"/>
        <sz val="9"/>
        <color theme="1"/>
        <rFont val="Times New Roman"/>
        <family val="1"/>
        <charset val="204"/>
      </rPr>
      <t>2</t>
    </r>
  </si>
  <si>
    <r>
      <t>d</t>
    </r>
    <r>
      <rPr>
        <vertAlign val="subscript"/>
        <sz val="9"/>
        <color theme="1"/>
        <rFont val="Times New Roman"/>
        <family val="1"/>
        <charset val="204"/>
      </rPr>
      <t>41</t>
    </r>
  </si>
  <si>
    <r>
      <t>d</t>
    </r>
    <r>
      <rPr>
        <vertAlign val="subscript"/>
        <sz val="9"/>
        <color theme="1"/>
        <rFont val="Times New Roman"/>
        <family val="1"/>
        <charset val="204"/>
      </rPr>
      <t>43</t>
    </r>
  </si>
  <si>
    <r>
      <t>d*</t>
    </r>
    <r>
      <rPr>
        <vertAlign val="subscript"/>
        <sz val="9"/>
        <color theme="1"/>
        <rFont val="Times New Roman"/>
        <family val="1"/>
        <charset val="204"/>
      </rPr>
      <t>43</t>
    </r>
  </si>
  <si>
    <r>
      <t>l</t>
    </r>
    <r>
      <rPr>
        <vertAlign val="subscript"/>
        <sz val="9"/>
        <color theme="1"/>
        <rFont val="Times New Roman"/>
        <family val="1"/>
        <charset val="204"/>
      </rPr>
      <t>60</t>
    </r>
  </si>
  <si>
    <r>
      <t>l</t>
    </r>
    <r>
      <rPr>
        <vertAlign val="subscript"/>
        <sz val="9"/>
        <color theme="1"/>
        <rFont val="Times New Roman"/>
        <family val="1"/>
        <charset val="204"/>
      </rPr>
      <t>61</t>
    </r>
  </si>
  <si>
    <r>
      <t>l</t>
    </r>
    <r>
      <rPr>
        <vertAlign val="subscript"/>
        <sz val="9"/>
        <color theme="1"/>
        <rFont val="Times New Roman"/>
        <family val="1"/>
        <charset val="204"/>
      </rPr>
      <t>62</t>
    </r>
  </si>
  <si>
    <t>`17</t>
  </si>
  <si>
    <t>Значение b2/2</t>
  </si>
  <si>
    <t>Значение qr</t>
  </si>
  <si>
    <t>Значение br</t>
  </si>
  <si>
    <t>Значение Da</t>
  </si>
  <si>
    <t xml:space="preserve">Высота оси вращения - определяется по графику и из таблицы 1 выбирается значение </t>
  </si>
  <si>
    <t>-</t>
  </si>
  <si>
    <t>коэффициент k(нас)</t>
  </si>
  <si>
    <t>Коэффициент K из таблицы 19</t>
  </si>
  <si>
    <t>Коэффициент K для обмоток изоляции класса нагревостойкоси В</t>
  </si>
  <si>
    <t>Коэффициент K для обмоток изоляции класса нагревостойкоси F</t>
  </si>
  <si>
    <t>Коэффициент K для обмоток изоляции класса нагревостойкоси H</t>
  </si>
  <si>
    <t>Значение коэффициента K</t>
  </si>
  <si>
    <t>lэкв средняя эквивалентная теплопроводность пазовой изоляции</t>
  </si>
  <si>
    <t>Диаметр изолированного провода</t>
  </si>
  <si>
    <t>Диаметр неизолированного провода</t>
  </si>
  <si>
    <t>диаметр неизолированного провода</t>
  </si>
  <si>
    <t>Значение d/dиз</t>
  </si>
  <si>
    <t>Значение коэффициента Квыл</t>
  </si>
  <si>
    <t>Значение В</t>
  </si>
  <si>
    <t>Значение а1</t>
  </si>
  <si>
    <t>Значение аb</t>
  </si>
  <si>
    <t>Значение L</t>
  </si>
  <si>
    <t>Значение lg</t>
  </si>
  <si>
    <t>Значение lст</t>
  </si>
  <si>
    <t>Коэффициент m</t>
  </si>
  <si>
    <t>Число радиальных вентиляционных каналов</t>
  </si>
  <si>
    <t>Ширина радиальных вентиляционных каналов</t>
  </si>
  <si>
    <t>Фактический расход воздуха, получаемый с помощью вентилятора (Степень защиты IP44)</t>
  </si>
  <si>
    <t>Для двигателя со степенью защиты IP44</t>
  </si>
  <si>
    <t>Для двигателя со степенью защиты IP23</t>
  </si>
  <si>
    <t>Потери в двигателе при нормальном режиме</t>
  </si>
  <si>
    <t>Единица измерения</t>
  </si>
  <si>
    <t>Ом</t>
  </si>
  <si>
    <t>кВт</t>
  </si>
  <si>
    <t>Число парралельных ветвей (предварительно)</t>
  </si>
  <si>
    <t>Число парралельных ветвей. Округлить до целого числа</t>
  </si>
  <si>
    <t>Значение Bz2 по таблице 5</t>
  </si>
  <si>
    <t>Значение Bj по таблице 5</t>
  </si>
  <si>
    <t>коэффициент ki по рисунку 12</t>
  </si>
  <si>
    <t>Вz2ср</t>
  </si>
  <si>
    <t>При расчетной температуре   (класс нагревостойкости изоляции A, E, B)</t>
  </si>
  <si>
    <t>При расчетной температуре   (класс нагревостойкости изоляции F,H)</t>
  </si>
  <si>
    <t>коэффициент Kg</t>
  </si>
  <si>
    <t>скольжение для расчета в пояснительной записке</t>
  </si>
</sst>
</file>

<file path=xl/styles.xml><?xml version="1.0" encoding="utf-8"?>
<styleSheet xmlns="http://schemas.openxmlformats.org/spreadsheetml/2006/main">
  <numFmts count="2">
    <numFmt numFmtId="164" formatCode="0.00000"/>
    <numFmt numFmtId="165" formatCode="0.000000000000"/>
  </numFmts>
  <fonts count="17">
    <font>
      <sz val="11"/>
      <color theme="1"/>
      <name val="Calibri"/>
      <family val="2"/>
      <charset val="204"/>
      <scheme val="minor"/>
    </font>
    <font>
      <sz val="14"/>
      <color theme="1"/>
      <name val="Times New Roman"/>
      <family val="1"/>
      <charset val="204"/>
    </font>
    <font>
      <sz val="16"/>
      <color theme="1"/>
      <name val="Times New Roman"/>
      <family val="1"/>
      <charset val="204"/>
    </font>
    <font>
      <b/>
      <sz val="16"/>
      <color theme="1"/>
      <name val="Times New Roman"/>
      <family val="1"/>
      <charset val="204"/>
    </font>
    <font>
      <sz val="11"/>
      <color theme="1"/>
      <name val="Times New Roman"/>
      <family val="1"/>
      <charset val="204"/>
    </font>
    <font>
      <sz val="12"/>
      <color theme="1"/>
      <name val="Times New Roman"/>
      <family val="1"/>
      <charset val="204"/>
    </font>
    <font>
      <sz val="10"/>
      <color theme="1"/>
      <name val="Times New Roman"/>
      <family val="1"/>
      <charset val="204"/>
    </font>
    <font>
      <sz val="14"/>
      <color theme="1"/>
      <name val="Calibri"/>
      <family val="2"/>
      <charset val="204"/>
      <scheme val="minor"/>
    </font>
    <font>
      <vertAlign val="subscript"/>
      <sz val="14"/>
      <color theme="1"/>
      <name val="Times New Roman"/>
      <family val="1"/>
      <charset val="204"/>
    </font>
    <font>
      <i/>
      <sz val="14"/>
      <color theme="1"/>
      <name val="Times New Roman"/>
      <family val="1"/>
      <charset val="204"/>
    </font>
    <font>
      <i/>
      <sz val="10"/>
      <color theme="1"/>
      <name val="Times New Roman"/>
      <family val="1"/>
      <charset val="204"/>
    </font>
    <font>
      <vertAlign val="subscript"/>
      <sz val="10"/>
      <color theme="1"/>
      <name val="Times New Roman"/>
      <family val="1"/>
      <charset val="204"/>
    </font>
    <font>
      <sz val="10"/>
      <color rgb="FF000000"/>
      <name val="Times New Roman"/>
      <family val="1"/>
      <charset val="204"/>
    </font>
    <font>
      <vertAlign val="superscript"/>
      <sz val="10"/>
      <color theme="1"/>
      <name val="Times New Roman"/>
      <family val="1"/>
      <charset val="204"/>
    </font>
    <font>
      <sz val="9"/>
      <color theme="1"/>
      <name val="Times New Roman"/>
      <family val="1"/>
      <charset val="204"/>
    </font>
    <font>
      <vertAlign val="superscript"/>
      <sz val="9"/>
      <color theme="1"/>
      <name val="Times New Roman"/>
      <family val="1"/>
      <charset val="204"/>
    </font>
    <font>
      <vertAlign val="subscript"/>
      <sz val="9"/>
      <color theme="1"/>
      <name val="Times New Roman"/>
      <family val="1"/>
      <charset val="204"/>
    </font>
  </fonts>
  <fills count="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76">
    <xf numFmtId="0" fontId="0" fillId="0" borderId="0" xfId="0"/>
    <xf numFmtId="0" fontId="1" fillId="0" borderId="0" xfId="0" applyFont="1"/>
    <xf numFmtId="164" fontId="1" fillId="0" borderId="0" xfId="0" applyNumberFormat="1" applyFont="1"/>
    <xf numFmtId="164" fontId="1" fillId="0" borderId="0" xfId="0" applyNumberFormat="1" applyFont="1" applyBorder="1"/>
    <xf numFmtId="164" fontId="2" fillId="0" borderId="0" xfId="0" applyNumberFormat="1" applyFont="1" applyAlignment="1">
      <alignment horizontal="center" vertical="center"/>
    </xf>
    <xf numFmtId="164" fontId="2" fillId="2" borderId="1" xfId="0" applyNumberFormat="1" applyFont="1" applyFill="1" applyBorder="1" applyAlignment="1">
      <alignment horizontal="center" vertical="center"/>
    </xf>
    <xf numFmtId="164" fontId="2" fillId="0" borderId="0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/>
    </xf>
    <xf numFmtId="49" fontId="2" fillId="0" borderId="0" xfId="0" applyNumberFormat="1" applyFont="1" applyAlignment="1">
      <alignment horizontal="center" vertical="center"/>
    </xf>
    <xf numFmtId="49" fontId="2" fillId="0" borderId="1" xfId="0" applyNumberFormat="1" applyFont="1" applyBorder="1" applyAlignment="1">
      <alignment horizontal="center" vertical="center"/>
    </xf>
    <xf numFmtId="49" fontId="2" fillId="0" borderId="0" xfId="0" applyNumberFormat="1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left" vertical="center"/>
    </xf>
    <xf numFmtId="164" fontId="2" fillId="2" borderId="1" xfId="0" applyNumberFormat="1" applyFont="1" applyFill="1" applyBorder="1" applyAlignment="1">
      <alignment horizontal="left" vertical="center"/>
    </xf>
    <xf numFmtId="164" fontId="2" fillId="0" borderId="0" xfId="0" applyNumberFormat="1" applyFont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164" fontId="2" fillId="0" borderId="0" xfId="0" applyNumberFormat="1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49" fontId="2" fillId="0" borderId="1" xfId="0" applyNumberFormat="1" applyFont="1" applyBorder="1" applyAlignment="1">
      <alignment horizontal="left" vertical="center"/>
    </xf>
    <xf numFmtId="49" fontId="2" fillId="2" borderId="1" xfId="0" applyNumberFormat="1" applyFont="1" applyFill="1" applyBorder="1" applyAlignment="1">
      <alignment horizontal="left" vertical="center"/>
    </xf>
    <xf numFmtId="164" fontId="3" fillId="0" borderId="0" xfId="0" applyNumberFormat="1" applyFont="1" applyAlignment="1">
      <alignment horizontal="left" vertical="center"/>
    </xf>
    <xf numFmtId="165" fontId="2" fillId="0" borderId="1" xfId="0" applyNumberFormat="1" applyFont="1" applyBorder="1" applyAlignment="1">
      <alignment horizontal="center" vertical="center"/>
    </xf>
    <xf numFmtId="164" fontId="2" fillId="0" borderId="0" xfId="0" applyNumberFormat="1" applyFont="1"/>
    <xf numFmtId="164" fontId="2" fillId="2" borderId="1" xfId="0" applyNumberFormat="1" applyFont="1" applyFill="1" applyBorder="1"/>
    <xf numFmtId="164" fontId="2" fillId="0" borderId="1" xfId="0" applyNumberFormat="1" applyFont="1" applyBorder="1"/>
    <xf numFmtId="0" fontId="2" fillId="0" borderId="1" xfId="0" applyFont="1" applyBorder="1"/>
    <xf numFmtId="0" fontId="2" fillId="0" borderId="0" xfId="0" applyFont="1"/>
    <xf numFmtId="0" fontId="2" fillId="0" borderId="0" xfId="0" applyFont="1" applyBorder="1"/>
    <xf numFmtId="0" fontId="4" fillId="0" borderId="1" xfId="0" applyFont="1" applyBorder="1"/>
    <xf numFmtId="0" fontId="4" fillId="0" borderId="0" xfId="0" applyFont="1" applyBorder="1"/>
    <xf numFmtId="0" fontId="4" fillId="0" borderId="0" xfId="0" applyFont="1"/>
    <xf numFmtId="0" fontId="2" fillId="0" borderId="1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1" xfId="0" applyFont="1" applyBorder="1" applyAlignment="1">
      <alignment horizontal="center"/>
    </xf>
    <xf numFmtId="2" fontId="2" fillId="0" borderId="0" xfId="0" applyNumberFormat="1" applyFont="1" applyAlignment="1">
      <alignment horizontal="center" vertical="center"/>
    </xf>
    <xf numFmtId="2" fontId="2" fillId="0" borderId="1" xfId="0" applyNumberFormat="1" applyFont="1" applyBorder="1" applyAlignment="1">
      <alignment horizontal="center" vertical="center"/>
    </xf>
    <xf numFmtId="2" fontId="2" fillId="0" borderId="1" xfId="0" applyNumberFormat="1" applyFont="1" applyBorder="1"/>
    <xf numFmtId="2" fontId="2" fillId="0" borderId="0" xfId="0" applyNumberFormat="1" applyFont="1" applyBorder="1" applyAlignment="1">
      <alignment horizontal="center" vertical="center"/>
    </xf>
    <xf numFmtId="2" fontId="4" fillId="0" borderId="0" xfId="0" applyNumberFormat="1" applyFont="1"/>
    <xf numFmtId="164" fontId="1" fillId="0" borderId="0" xfId="0" applyNumberFormat="1" applyFont="1" applyAlignment="1">
      <alignment horizontal="center" vertical="center"/>
    </xf>
    <xf numFmtId="164" fontId="1" fillId="0" borderId="1" xfId="0" applyNumberFormat="1" applyFont="1" applyBorder="1" applyAlignment="1">
      <alignment horizontal="center" vertical="center"/>
    </xf>
    <xf numFmtId="164" fontId="2" fillId="3" borderId="1" xfId="0" applyNumberFormat="1" applyFont="1" applyFill="1" applyBorder="1"/>
    <xf numFmtId="164" fontId="2" fillId="3" borderId="1" xfId="0" applyNumberFormat="1" applyFont="1" applyFill="1" applyBorder="1" applyAlignment="1">
      <alignment horizontal="center" vertical="center"/>
    </xf>
    <xf numFmtId="164" fontId="2" fillId="3" borderId="1" xfId="0" applyNumberFormat="1" applyFont="1" applyFill="1" applyBorder="1" applyAlignment="1">
      <alignment horizontal="left" vertical="center"/>
    </xf>
    <xf numFmtId="0" fontId="2" fillId="3" borderId="1" xfId="0" applyFont="1" applyFill="1" applyBorder="1"/>
    <xf numFmtId="2" fontId="2" fillId="3" borderId="1" xfId="0" applyNumberFormat="1" applyFont="1" applyFill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49" fontId="2" fillId="0" borderId="2" xfId="0" applyNumberFormat="1" applyFont="1" applyBorder="1" applyAlignment="1">
      <alignment horizontal="center" vertical="center"/>
    </xf>
    <xf numFmtId="164" fontId="2" fillId="0" borderId="2" xfId="0" applyNumberFormat="1" applyFont="1" applyBorder="1" applyAlignment="1">
      <alignment horizontal="center" vertical="center"/>
    </xf>
    <xf numFmtId="164" fontId="1" fillId="0" borderId="1" xfId="0" applyNumberFormat="1" applyFont="1" applyBorder="1"/>
    <xf numFmtId="164" fontId="1" fillId="0" borderId="1" xfId="0" applyNumberFormat="1" applyFont="1" applyBorder="1" applyAlignment="1">
      <alignment horizontal="left" vertical="center"/>
    </xf>
    <xf numFmtId="0" fontId="5" fillId="0" borderId="1" xfId="0" applyFont="1" applyBorder="1"/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4" fillId="0" borderId="0" xfId="0" applyFont="1" applyBorder="1" applyAlignment="1"/>
    <xf numFmtId="0" fontId="6" fillId="0" borderId="8" xfId="0" applyFont="1" applyBorder="1" applyAlignment="1">
      <alignment horizontal="center" wrapText="1"/>
    </xf>
    <xf numFmtId="0" fontId="6" fillId="0" borderId="6" xfId="0" applyFont="1" applyBorder="1" applyAlignment="1">
      <alignment wrapText="1"/>
    </xf>
    <xf numFmtId="0" fontId="6" fillId="0" borderId="9" xfId="0" applyFont="1" applyBorder="1" applyAlignment="1">
      <alignment horizontal="center" wrapText="1"/>
    </xf>
    <xf numFmtId="0" fontId="6" fillId="0" borderId="10" xfId="0" applyFont="1" applyBorder="1" applyAlignment="1">
      <alignment horizontal="center" wrapText="1"/>
    </xf>
    <xf numFmtId="0" fontId="0" fillId="0" borderId="9" xfId="0" applyBorder="1" applyAlignment="1">
      <alignment wrapText="1"/>
    </xf>
    <xf numFmtId="0" fontId="0" fillId="0" borderId="10" xfId="0" applyBorder="1" applyAlignment="1">
      <alignment wrapText="1"/>
    </xf>
    <xf numFmtId="0" fontId="6" fillId="0" borderId="4" xfId="0" applyFont="1" applyBorder="1" applyAlignment="1">
      <alignment horizontal="center" wrapText="1"/>
    </xf>
    <xf numFmtId="0" fontId="6" fillId="0" borderId="6" xfId="0" applyFont="1" applyBorder="1" applyAlignment="1">
      <alignment horizontal="center" wrapText="1"/>
    </xf>
    <xf numFmtId="0" fontId="6" fillId="0" borderId="5" xfId="0" applyFont="1" applyBorder="1" applyAlignment="1">
      <alignment horizontal="center" wrapText="1"/>
    </xf>
    <xf numFmtId="0" fontId="10" fillId="0" borderId="10" xfId="0" applyFont="1" applyBorder="1" applyAlignment="1">
      <alignment horizontal="center" wrapText="1"/>
    </xf>
    <xf numFmtId="49" fontId="0" fillId="0" borderId="0" xfId="0" applyNumberFormat="1" applyBorder="1"/>
    <xf numFmtId="49" fontId="0" fillId="0" borderId="0" xfId="0" applyNumberFormat="1" applyBorder="1" applyAlignment="1">
      <alignment horizontal="center" vertical="center"/>
    </xf>
    <xf numFmtId="49" fontId="0" fillId="0" borderId="0" xfId="0" applyNumberFormat="1"/>
    <xf numFmtId="49" fontId="0" fillId="0" borderId="0" xfId="0" applyNumberFormat="1" applyAlignment="1">
      <alignment horizontal="center" vertical="center"/>
    </xf>
    <xf numFmtId="49" fontId="1" fillId="4" borderId="4" xfId="0" applyNumberFormat="1" applyFont="1" applyFill="1" applyBorder="1" applyAlignment="1">
      <alignment horizontal="center" vertical="center" wrapText="1"/>
    </xf>
    <xf numFmtId="49" fontId="1" fillId="0" borderId="0" xfId="0" applyNumberFormat="1" applyFont="1"/>
    <xf numFmtId="49" fontId="1" fillId="4" borderId="5" xfId="0" applyNumberFormat="1" applyFont="1" applyFill="1" applyBorder="1" applyAlignment="1">
      <alignment horizontal="center" vertical="center" wrapText="1"/>
    </xf>
    <xf numFmtId="49" fontId="9" fillId="0" borderId="10" xfId="0" applyNumberFormat="1" applyFont="1" applyBorder="1" applyAlignment="1">
      <alignment horizontal="center" vertical="center" wrapText="1"/>
    </xf>
    <xf numFmtId="49" fontId="1" fillId="0" borderId="6" xfId="0" applyNumberFormat="1" applyFont="1" applyBorder="1" applyAlignment="1">
      <alignment vertical="center" wrapText="1"/>
    </xf>
    <xf numFmtId="49" fontId="1" fillId="0" borderId="10" xfId="0" applyNumberFormat="1" applyFont="1" applyBorder="1" applyAlignment="1">
      <alignment horizontal="center" vertical="center" wrapText="1"/>
    </xf>
    <xf numFmtId="49" fontId="1" fillId="4" borderId="6" xfId="0" applyNumberFormat="1" applyFont="1" applyFill="1" applyBorder="1" applyAlignment="1">
      <alignment horizontal="center" vertical="center" wrapText="1"/>
    </xf>
    <xf numFmtId="49" fontId="1" fillId="4" borderId="10" xfId="0" applyNumberFormat="1" applyFont="1" applyFill="1" applyBorder="1" applyAlignment="1">
      <alignment horizontal="center" vertical="center" wrapText="1"/>
    </xf>
    <xf numFmtId="49" fontId="9" fillId="4" borderId="10" xfId="0" applyNumberFormat="1" applyFont="1" applyFill="1" applyBorder="1" applyAlignment="1">
      <alignment horizontal="center" vertical="center" wrapText="1"/>
    </xf>
    <xf numFmtId="49" fontId="1" fillId="0" borderId="3" xfId="0" applyNumberFormat="1" applyFont="1" applyBorder="1" applyAlignment="1">
      <alignment vertical="center" wrapText="1"/>
    </xf>
    <xf numFmtId="49" fontId="1" fillId="0" borderId="7" xfId="0" applyNumberFormat="1" applyFont="1" applyBorder="1" applyAlignment="1">
      <alignment horizontal="center" vertical="center" wrapText="1"/>
    </xf>
    <xf numFmtId="49" fontId="1" fillId="0" borderId="9" xfId="0" applyNumberFormat="1" applyFont="1" applyBorder="1" applyAlignment="1">
      <alignment horizontal="center" vertical="center" wrapText="1"/>
    </xf>
    <xf numFmtId="49" fontId="1" fillId="0" borderId="3" xfId="0" applyNumberFormat="1" applyFont="1" applyBorder="1" applyAlignment="1">
      <alignment horizontal="center" vertical="center" wrapText="1"/>
    </xf>
    <xf numFmtId="49" fontId="1" fillId="0" borderId="6" xfId="0" applyNumberFormat="1" applyFont="1" applyBorder="1" applyAlignment="1">
      <alignment horizontal="center" vertical="center" wrapText="1"/>
    </xf>
    <xf numFmtId="0" fontId="12" fillId="4" borderId="9" xfId="0" applyFont="1" applyFill="1" applyBorder="1" applyAlignment="1">
      <alignment horizontal="center" vertical="top" wrapText="1"/>
    </xf>
    <xf numFmtId="0" fontId="0" fillId="4" borderId="9" xfId="0" applyFill="1" applyBorder="1" applyAlignment="1">
      <alignment vertical="top" wrapText="1"/>
    </xf>
    <xf numFmtId="0" fontId="0" fillId="4" borderId="10" xfId="0" applyFill="1" applyBorder="1" applyAlignment="1">
      <alignment vertical="top" wrapText="1"/>
    </xf>
    <xf numFmtId="0" fontId="12" fillId="4" borderId="10" xfId="0" applyFont="1" applyFill="1" applyBorder="1" applyAlignment="1">
      <alignment horizontal="center" vertical="top" wrapText="1"/>
    </xf>
    <xf numFmtId="0" fontId="12" fillId="4" borderId="6" xfId="0" applyFont="1" applyFill="1" applyBorder="1" applyAlignment="1">
      <alignment vertical="top" wrapText="1"/>
    </xf>
    <xf numFmtId="0" fontId="6" fillId="0" borderId="10" xfId="0" applyFont="1" applyBorder="1" applyAlignment="1">
      <alignment horizontal="center" vertical="top" wrapText="1"/>
    </xf>
    <xf numFmtId="0" fontId="6" fillId="0" borderId="6" xfId="0" applyFont="1" applyBorder="1" applyAlignment="1">
      <alignment horizontal="center" vertical="top" wrapText="1"/>
    </xf>
    <xf numFmtId="0" fontId="0" fillId="0" borderId="6" xfId="0" applyBorder="1" applyAlignment="1">
      <alignment wrapText="1"/>
    </xf>
    <xf numFmtId="49" fontId="0" fillId="0" borderId="0" xfId="0" applyNumberFormat="1" applyAlignment="1">
      <alignment vertical="center"/>
    </xf>
    <xf numFmtId="0" fontId="6" fillId="0" borderId="6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  <xf numFmtId="0" fontId="14" fillId="0" borderId="10" xfId="0" applyFont="1" applyBorder="1" applyAlignment="1">
      <alignment horizontal="center" vertical="center" wrapText="1"/>
    </xf>
    <xf numFmtId="0" fontId="14" fillId="0" borderId="6" xfId="0" applyFont="1" applyBorder="1" applyAlignment="1">
      <alignment horizontal="center" vertical="center" wrapText="1"/>
    </xf>
    <xf numFmtId="164" fontId="1" fillId="0" borderId="0" xfId="0" applyNumberFormat="1" applyFont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4" fillId="3" borderId="1" xfId="0" applyFont="1" applyFill="1" applyBorder="1"/>
    <xf numFmtId="164" fontId="1" fillId="0" borderId="0" xfId="0" applyNumberFormat="1" applyFont="1" applyAlignment="1">
      <alignment horizontal="center"/>
    </xf>
    <xf numFmtId="164" fontId="2" fillId="2" borderId="1" xfId="0" applyNumberFormat="1" applyFont="1" applyFill="1" applyBorder="1" applyAlignment="1">
      <alignment horizontal="center"/>
    </xf>
    <xf numFmtId="0" fontId="2" fillId="2" borderId="1" xfId="0" applyFont="1" applyFill="1" applyBorder="1" applyAlignment="1">
      <alignment horizontal="left" vertical="center"/>
    </xf>
    <xf numFmtId="0" fontId="4" fillId="0" borderId="0" xfId="0" applyFont="1" applyBorder="1" applyAlignment="1">
      <alignment horizontal="center" vertical="center"/>
    </xf>
    <xf numFmtId="2" fontId="4" fillId="0" borderId="1" xfId="0" applyNumberFormat="1" applyFont="1" applyBorder="1" applyAlignment="1">
      <alignment horizontal="center" vertical="center"/>
    </xf>
    <xf numFmtId="2" fontId="4" fillId="2" borderId="1" xfId="0" applyNumberFormat="1" applyFont="1" applyFill="1" applyBorder="1" applyAlignment="1">
      <alignment horizontal="center" vertical="center"/>
    </xf>
    <xf numFmtId="164" fontId="2" fillId="0" borderId="1" xfId="0" applyNumberFormat="1" applyFont="1" applyFill="1" applyBorder="1" applyAlignment="1">
      <alignment horizontal="left" vertical="center"/>
    </xf>
    <xf numFmtId="164" fontId="2" fillId="0" borderId="1" xfId="0" applyNumberFormat="1" applyFont="1" applyFill="1" applyBorder="1" applyAlignment="1">
      <alignment horizontal="center" vertical="center"/>
    </xf>
    <xf numFmtId="0" fontId="6" fillId="0" borderId="17" xfId="0" applyFont="1" applyBorder="1" applyAlignment="1">
      <alignment horizontal="center" wrapText="1"/>
    </xf>
    <xf numFmtId="0" fontId="6" fillId="0" borderId="16" xfId="0" applyFont="1" applyBorder="1" applyAlignment="1">
      <alignment horizontal="center" wrapText="1"/>
    </xf>
    <xf numFmtId="0" fontId="6" fillId="0" borderId="7" xfId="0" applyFont="1" applyBorder="1" applyAlignment="1">
      <alignment horizontal="center" wrapText="1"/>
    </xf>
    <xf numFmtId="0" fontId="6" fillId="0" borderId="4" xfId="0" applyFont="1" applyBorder="1" applyAlignment="1">
      <alignment horizontal="center" wrapText="1"/>
    </xf>
    <xf numFmtId="0" fontId="6" fillId="0" borderId="6" xfId="0" applyFont="1" applyBorder="1" applyAlignment="1">
      <alignment horizontal="center" wrapText="1"/>
    </xf>
    <xf numFmtId="0" fontId="6" fillId="0" borderId="5" xfId="0" applyFont="1" applyBorder="1" applyAlignment="1">
      <alignment horizontal="center" wrapText="1"/>
    </xf>
    <xf numFmtId="49" fontId="1" fillId="0" borderId="4" xfId="0" applyNumberFormat="1" applyFont="1" applyBorder="1" applyAlignment="1">
      <alignment horizontal="center" vertical="center" wrapText="1"/>
    </xf>
    <xf numFmtId="49" fontId="1" fillId="0" borderId="5" xfId="0" applyNumberFormat="1" applyFont="1" applyBorder="1" applyAlignment="1">
      <alignment horizontal="center" vertical="center" wrapText="1"/>
    </xf>
    <xf numFmtId="49" fontId="1" fillId="0" borderId="6" xfId="0" applyNumberFormat="1" applyFont="1" applyBorder="1" applyAlignment="1">
      <alignment horizontal="center" vertical="center" wrapText="1"/>
    </xf>
    <xf numFmtId="0" fontId="12" fillId="4" borderId="4" xfId="0" applyFont="1" applyFill="1" applyBorder="1" applyAlignment="1">
      <alignment vertical="top" wrapText="1"/>
    </xf>
    <xf numFmtId="0" fontId="12" fillId="4" borderId="6" xfId="0" applyFont="1" applyFill="1" applyBorder="1" applyAlignment="1">
      <alignment vertical="top" wrapText="1"/>
    </xf>
    <xf numFmtId="0" fontId="12" fillId="4" borderId="4" xfId="0" applyFont="1" applyFill="1" applyBorder="1" applyAlignment="1">
      <alignment horizontal="center" vertical="top" wrapText="1"/>
    </xf>
    <xf numFmtId="0" fontId="12" fillId="4" borderId="6" xfId="0" applyFont="1" applyFill="1" applyBorder="1" applyAlignment="1">
      <alignment horizontal="center" vertical="top" wrapText="1"/>
    </xf>
    <xf numFmtId="0" fontId="12" fillId="4" borderId="5" xfId="0" applyFont="1" applyFill="1" applyBorder="1" applyAlignment="1">
      <alignment vertical="top" wrapText="1"/>
    </xf>
    <xf numFmtId="0" fontId="12" fillId="4" borderId="5" xfId="0" applyFont="1" applyFill="1" applyBorder="1" applyAlignment="1">
      <alignment horizontal="center" vertical="top" wrapText="1"/>
    </xf>
    <xf numFmtId="49" fontId="1" fillId="0" borderId="4" xfId="0" applyNumberFormat="1" applyFont="1" applyBorder="1" applyAlignment="1">
      <alignment vertical="center" wrapText="1"/>
    </xf>
    <xf numFmtId="49" fontId="1" fillId="0" borderId="6" xfId="0" applyNumberFormat="1" applyFont="1" applyBorder="1" applyAlignment="1">
      <alignment vertical="center" wrapText="1"/>
    </xf>
    <xf numFmtId="49" fontId="1" fillId="0" borderId="5" xfId="0" applyNumberFormat="1" applyFont="1" applyBorder="1" applyAlignment="1">
      <alignment vertical="center" wrapText="1"/>
    </xf>
    <xf numFmtId="49" fontId="7" fillId="0" borderId="6" xfId="0" applyNumberFormat="1" applyFont="1" applyBorder="1" applyAlignment="1">
      <alignment vertical="center"/>
    </xf>
    <xf numFmtId="49" fontId="1" fillId="0" borderId="17" xfId="0" applyNumberFormat="1" applyFont="1" applyBorder="1" applyAlignment="1">
      <alignment horizontal="center" vertical="center" wrapText="1"/>
    </xf>
    <xf numFmtId="49" fontId="1" fillId="0" borderId="16" xfId="0" applyNumberFormat="1" applyFont="1" applyBorder="1" applyAlignment="1">
      <alignment horizontal="center" vertical="center" wrapText="1"/>
    </xf>
    <xf numFmtId="49" fontId="1" fillId="0" borderId="7" xfId="0" applyNumberFormat="1" applyFont="1" applyBorder="1" applyAlignment="1">
      <alignment horizontal="center" vertical="center" wrapText="1"/>
    </xf>
    <xf numFmtId="49" fontId="1" fillId="4" borderId="4" xfId="0" applyNumberFormat="1" applyFont="1" applyFill="1" applyBorder="1" applyAlignment="1">
      <alignment horizontal="center" vertical="center" wrapText="1"/>
    </xf>
    <xf numFmtId="49" fontId="1" fillId="4" borderId="6" xfId="0" applyNumberFormat="1" applyFont="1" applyFill="1" applyBorder="1" applyAlignment="1">
      <alignment horizontal="center" vertical="center" wrapText="1"/>
    </xf>
    <xf numFmtId="49" fontId="1" fillId="4" borderId="5" xfId="0" applyNumberFormat="1" applyFont="1" applyFill="1" applyBorder="1" applyAlignment="1">
      <alignment horizontal="center" vertical="center" wrapText="1"/>
    </xf>
    <xf numFmtId="49" fontId="1" fillId="4" borderId="4" xfId="0" applyNumberFormat="1" applyFont="1" applyFill="1" applyBorder="1" applyAlignment="1">
      <alignment horizontal="center" textRotation="90" wrapText="1"/>
    </xf>
    <xf numFmtId="49" fontId="1" fillId="4" borderId="5" xfId="0" applyNumberFormat="1" applyFont="1" applyFill="1" applyBorder="1" applyAlignment="1">
      <alignment horizontal="center" textRotation="90" wrapText="1"/>
    </xf>
    <xf numFmtId="49" fontId="1" fillId="4" borderId="6" xfId="0" applyNumberFormat="1" applyFont="1" applyFill="1" applyBorder="1" applyAlignment="1">
      <alignment horizontal="center" textRotation="90" wrapText="1"/>
    </xf>
    <xf numFmtId="49" fontId="1" fillId="4" borderId="13" xfId="0" applyNumberFormat="1" applyFont="1" applyFill="1" applyBorder="1" applyAlignment="1">
      <alignment horizontal="center" wrapText="1"/>
    </xf>
    <xf numFmtId="49" fontId="1" fillId="4" borderId="11" xfId="0" applyNumberFormat="1" applyFont="1" applyFill="1" applyBorder="1" applyAlignment="1">
      <alignment horizontal="center" wrapText="1"/>
    </xf>
    <xf numFmtId="49" fontId="1" fillId="4" borderId="8" xfId="0" applyNumberFormat="1" applyFont="1" applyFill="1" applyBorder="1" applyAlignment="1">
      <alignment horizontal="center" wrapText="1"/>
    </xf>
    <xf numFmtId="49" fontId="1" fillId="4" borderId="14" xfId="0" applyNumberFormat="1" applyFont="1" applyFill="1" applyBorder="1" applyAlignment="1">
      <alignment horizontal="center" wrapText="1"/>
    </xf>
    <xf numFmtId="49" fontId="1" fillId="4" borderId="0" xfId="0" applyNumberFormat="1" applyFont="1" applyFill="1" applyAlignment="1">
      <alignment horizontal="center" wrapText="1"/>
    </xf>
    <xf numFmtId="49" fontId="1" fillId="4" borderId="9" xfId="0" applyNumberFormat="1" applyFont="1" applyFill="1" applyBorder="1" applyAlignment="1">
      <alignment horizontal="center" wrapText="1"/>
    </xf>
    <xf numFmtId="49" fontId="1" fillId="4" borderId="15" xfId="0" applyNumberFormat="1" applyFont="1" applyFill="1" applyBorder="1" applyAlignment="1">
      <alignment wrapText="1"/>
    </xf>
    <xf numFmtId="49" fontId="1" fillId="4" borderId="12" xfId="0" applyNumberFormat="1" applyFont="1" applyFill="1" applyBorder="1" applyAlignment="1">
      <alignment wrapText="1"/>
    </xf>
    <xf numFmtId="49" fontId="1" fillId="4" borderId="10" xfId="0" applyNumberFormat="1" applyFont="1" applyFill="1" applyBorder="1" applyAlignment="1">
      <alignment wrapText="1"/>
    </xf>
    <xf numFmtId="49" fontId="1" fillId="4" borderId="13" xfId="0" applyNumberFormat="1" applyFont="1" applyFill="1" applyBorder="1" applyAlignment="1">
      <alignment horizontal="center" vertical="center" wrapText="1"/>
    </xf>
    <xf numFmtId="49" fontId="1" fillId="4" borderId="11" xfId="0" applyNumberFormat="1" applyFont="1" applyFill="1" applyBorder="1" applyAlignment="1">
      <alignment horizontal="center" vertical="center" wrapText="1"/>
    </xf>
    <xf numFmtId="49" fontId="1" fillId="4" borderId="8" xfId="0" applyNumberFormat="1" applyFont="1" applyFill="1" applyBorder="1" applyAlignment="1">
      <alignment horizontal="center" vertical="center" wrapText="1"/>
    </xf>
    <xf numFmtId="49" fontId="1" fillId="4" borderId="14" xfId="0" applyNumberFormat="1" applyFont="1" applyFill="1" applyBorder="1" applyAlignment="1">
      <alignment horizontal="center" vertical="center" wrapText="1"/>
    </xf>
    <xf numFmtId="49" fontId="1" fillId="4" borderId="0" xfId="0" applyNumberFormat="1" applyFont="1" applyFill="1" applyBorder="1" applyAlignment="1">
      <alignment horizontal="center" vertical="center" wrapText="1"/>
    </xf>
    <xf numFmtId="49" fontId="1" fillId="4" borderId="9" xfId="0" applyNumberFormat="1" applyFont="1" applyFill="1" applyBorder="1" applyAlignment="1">
      <alignment horizontal="center" vertical="center" wrapText="1"/>
    </xf>
    <xf numFmtId="49" fontId="1" fillId="4" borderId="15" xfId="0" applyNumberFormat="1" applyFont="1" applyFill="1" applyBorder="1" applyAlignment="1">
      <alignment horizontal="center" vertical="center" wrapText="1"/>
    </xf>
    <xf numFmtId="49" fontId="1" fillId="4" borderId="12" xfId="0" applyNumberFormat="1" applyFont="1" applyFill="1" applyBorder="1" applyAlignment="1">
      <alignment horizontal="center" vertical="center" wrapText="1"/>
    </xf>
    <xf numFmtId="49" fontId="1" fillId="4" borderId="10" xfId="0" applyNumberFormat="1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top" wrapText="1"/>
    </xf>
    <xf numFmtId="0" fontId="6" fillId="0" borderId="5" xfId="0" applyFont="1" applyBorder="1" applyAlignment="1">
      <alignment horizontal="center" vertical="top" wrapText="1"/>
    </xf>
    <xf numFmtId="0" fontId="6" fillId="0" borderId="6" xfId="0" applyFont="1" applyBorder="1" applyAlignment="1">
      <alignment horizontal="center" vertical="top" wrapText="1"/>
    </xf>
    <xf numFmtId="0" fontId="6" fillId="0" borderId="17" xfId="0" applyFont="1" applyBorder="1" applyAlignment="1">
      <alignment horizontal="center" vertical="top" wrapText="1"/>
    </xf>
    <xf numFmtId="0" fontId="6" fillId="0" borderId="16" xfId="0" applyFont="1" applyBorder="1" applyAlignment="1">
      <alignment horizontal="center" vertical="top" wrapText="1"/>
    </xf>
    <xf numFmtId="0" fontId="6" fillId="0" borderId="7" xfId="0" applyFont="1" applyBorder="1" applyAlignment="1">
      <alignment horizontal="center" vertical="top" wrapText="1"/>
    </xf>
    <xf numFmtId="0" fontId="6" fillId="0" borderId="17" xfId="0" applyFont="1" applyBorder="1" applyAlignment="1">
      <alignment horizontal="center" vertical="center" wrapText="1"/>
    </xf>
    <xf numFmtId="0" fontId="6" fillId="0" borderId="16" xfId="0" applyFont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14" fillId="0" borderId="17" xfId="0" applyFont="1" applyBorder="1" applyAlignment="1">
      <alignment horizontal="center" vertical="center" wrapText="1"/>
    </xf>
    <xf numFmtId="0" fontId="14" fillId="0" borderId="16" xfId="0" applyFont="1" applyBorder="1" applyAlignment="1">
      <alignment horizontal="center" vertical="center" wrapText="1"/>
    </xf>
    <xf numFmtId="0" fontId="14" fillId="0" borderId="7" xfId="0" applyFont="1" applyBorder="1" applyAlignment="1">
      <alignment horizontal="center" vertical="center" wrapText="1"/>
    </xf>
    <xf numFmtId="0" fontId="14" fillId="0" borderId="4" xfId="0" applyFont="1" applyBorder="1" applyAlignment="1">
      <alignment horizontal="center" vertical="center" wrapText="1"/>
    </xf>
    <xf numFmtId="0" fontId="14" fillId="0" borderId="5" xfId="0" applyFont="1" applyBorder="1" applyAlignment="1">
      <alignment horizontal="center" vertical="center" wrapText="1"/>
    </xf>
    <xf numFmtId="0" fontId="14" fillId="0" borderId="6" xfId="0" applyFont="1" applyBorder="1" applyAlignment="1">
      <alignment horizontal="center" vertical="center" wrapText="1"/>
    </xf>
  </cellXfs>
  <cellStyles count="1">
    <cellStyle name="Обычный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emf"/><Relationship Id="rId50" Type="http://schemas.openxmlformats.org/officeDocument/2006/relationships/image" Target="../media/image50.emf"/><Relationship Id="rId55" Type="http://schemas.openxmlformats.org/officeDocument/2006/relationships/image" Target="../media/image55.jpeg"/><Relationship Id="rId63" Type="http://schemas.openxmlformats.org/officeDocument/2006/relationships/image" Target="../media/image63.emf"/><Relationship Id="rId68" Type="http://schemas.openxmlformats.org/officeDocument/2006/relationships/image" Target="../media/image68.emf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74" Type="http://schemas.openxmlformats.org/officeDocument/2006/relationships/image" Target="../media/image74.png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emf"/><Relationship Id="rId57" Type="http://schemas.openxmlformats.org/officeDocument/2006/relationships/image" Target="../media/image57.emf"/><Relationship Id="rId61" Type="http://schemas.openxmlformats.org/officeDocument/2006/relationships/image" Target="../media/image61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65" Type="http://schemas.openxmlformats.org/officeDocument/2006/relationships/image" Target="../media/image65.emf"/><Relationship Id="rId73" Type="http://schemas.openxmlformats.org/officeDocument/2006/relationships/image" Target="../media/image73.emf"/><Relationship Id="rId4" Type="http://schemas.openxmlformats.org/officeDocument/2006/relationships/image" Target="../media/image4.png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64" Type="http://schemas.openxmlformats.org/officeDocument/2006/relationships/image" Target="../media/image64.emf"/><Relationship Id="rId69" Type="http://schemas.openxmlformats.org/officeDocument/2006/relationships/image" Target="../media/image69.png"/><Relationship Id="rId8" Type="http://schemas.openxmlformats.org/officeDocument/2006/relationships/image" Target="../media/image8.emf"/><Relationship Id="rId51" Type="http://schemas.openxmlformats.org/officeDocument/2006/relationships/image" Target="../media/image51.emf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70" Type="http://schemas.openxmlformats.org/officeDocument/2006/relationships/image" Target="../media/image70.emf"/><Relationship Id="rId1" Type="http://schemas.openxmlformats.org/officeDocument/2006/relationships/image" Target="../media/image1.jpeg"/><Relationship Id="rId6" Type="http://schemas.openxmlformats.org/officeDocument/2006/relationships/image" Target="../media/image6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9.png"/><Relationship Id="rId13" Type="http://schemas.openxmlformats.org/officeDocument/2006/relationships/image" Target="../media/image344.png"/><Relationship Id="rId18" Type="http://schemas.openxmlformats.org/officeDocument/2006/relationships/image" Target="../media/image349.png"/><Relationship Id="rId3" Type="http://schemas.openxmlformats.org/officeDocument/2006/relationships/image" Target="../media/image334.png"/><Relationship Id="rId21" Type="http://schemas.openxmlformats.org/officeDocument/2006/relationships/image" Target="../media/image352.png"/><Relationship Id="rId7" Type="http://schemas.openxmlformats.org/officeDocument/2006/relationships/image" Target="../media/image338.png"/><Relationship Id="rId12" Type="http://schemas.openxmlformats.org/officeDocument/2006/relationships/image" Target="../media/image343.emf"/><Relationship Id="rId17" Type="http://schemas.openxmlformats.org/officeDocument/2006/relationships/image" Target="../media/image348.png"/><Relationship Id="rId25" Type="http://schemas.openxmlformats.org/officeDocument/2006/relationships/image" Target="../media/image356.emf"/><Relationship Id="rId2" Type="http://schemas.openxmlformats.org/officeDocument/2006/relationships/image" Target="../media/image333.emf"/><Relationship Id="rId16" Type="http://schemas.openxmlformats.org/officeDocument/2006/relationships/image" Target="../media/image347.png"/><Relationship Id="rId20" Type="http://schemas.openxmlformats.org/officeDocument/2006/relationships/image" Target="../media/image351.png"/><Relationship Id="rId1" Type="http://schemas.openxmlformats.org/officeDocument/2006/relationships/image" Target="../media/image46.emf"/><Relationship Id="rId6" Type="http://schemas.openxmlformats.org/officeDocument/2006/relationships/image" Target="../media/image337.png"/><Relationship Id="rId11" Type="http://schemas.openxmlformats.org/officeDocument/2006/relationships/image" Target="../media/image342.png"/><Relationship Id="rId24" Type="http://schemas.openxmlformats.org/officeDocument/2006/relationships/image" Target="../media/image355.png"/><Relationship Id="rId5" Type="http://schemas.openxmlformats.org/officeDocument/2006/relationships/image" Target="../media/image336.png"/><Relationship Id="rId15" Type="http://schemas.openxmlformats.org/officeDocument/2006/relationships/image" Target="../media/image346.emf"/><Relationship Id="rId23" Type="http://schemas.openxmlformats.org/officeDocument/2006/relationships/image" Target="../media/image354.png"/><Relationship Id="rId10" Type="http://schemas.openxmlformats.org/officeDocument/2006/relationships/image" Target="../media/image341.png"/><Relationship Id="rId19" Type="http://schemas.openxmlformats.org/officeDocument/2006/relationships/image" Target="../media/image350.png"/><Relationship Id="rId4" Type="http://schemas.openxmlformats.org/officeDocument/2006/relationships/image" Target="../media/image335.png"/><Relationship Id="rId9" Type="http://schemas.openxmlformats.org/officeDocument/2006/relationships/image" Target="../media/image340.png"/><Relationship Id="rId14" Type="http://schemas.openxmlformats.org/officeDocument/2006/relationships/image" Target="../media/image345.png"/><Relationship Id="rId22" Type="http://schemas.openxmlformats.org/officeDocument/2006/relationships/image" Target="../media/image35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em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2.emf"/><Relationship Id="rId1" Type="http://schemas.openxmlformats.org/officeDocument/2006/relationships/image" Target="../media/image411.emf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0.jpeg"/><Relationship Id="rId3" Type="http://schemas.openxmlformats.org/officeDocument/2006/relationships/image" Target="../media/image415.jpeg"/><Relationship Id="rId7" Type="http://schemas.openxmlformats.org/officeDocument/2006/relationships/image" Target="../media/image419.jpeg"/><Relationship Id="rId2" Type="http://schemas.openxmlformats.org/officeDocument/2006/relationships/image" Target="../media/image414.jpeg"/><Relationship Id="rId1" Type="http://schemas.openxmlformats.org/officeDocument/2006/relationships/image" Target="../media/image413.jpeg"/><Relationship Id="rId6" Type="http://schemas.openxmlformats.org/officeDocument/2006/relationships/image" Target="../media/image418.jpeg"/><Relationship Id="rId5" Type="http://schemas.openxmlformats.org/officeDocument/2006/relationships/image" Target="../media/image417.png"/><Relationship Id="rId4" Type="http://schemas.openxmlformats.org/officeDocument/2006/relationships/image" Target="../media/image416.jpeg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91.emf"/><Relationship Id="rId21" Type="http://schemas.openxmlformats.org/officeDocument/2006/relationships/image" Target="../media/image95.emf"/><Relationship Id="rId42" Type="http://schemas.openxmlformats.org/officeDocument/2006/relationships/image" Target="../media/image116.emf"/><Relationship Id="rId63" Type="http://schemas.openxmlformats.org/officeDocument/2006/relationships/image" Target="../media/image137.emf"/><Relationship Id="rId84" Type="http://schemas.openxmlformats.org/officeDocument/2006/relationships/image" Target="../media/image158.emf"/><Relationship Id="rId138" Type="http://schemas.openxmlformats.org/officeDocument/2006/relationships/image" Target="../media/image212.emf"/><Relationship Id="rId159" Type="http://schemas.openxmlformats.org/officeDocument/2006/relationships/image" Target="../media/image233.emf"/><Relationship Id="rId170" Type="http://schemas.openxmlformats.org/officeDocument/2006/relationships/image" Target="../media/image244.emf"/><Relationship Id="rId191" Type="http://schemas.openxmlformats.org/officeDocument/2006/relationships/image" Target="../media/image265.emf"/><Relationship Id="rId205" Type="http://schemas.openxmlformats.org/officeDocument/2006/relationships/image" Target="../media/image279.emf"/><Relationship Id="rId226" Type="http://schemas.openxmlformats.org/officeDocument/2006/relationships/image" Target="../media/image300.emf"/><Relationship Id="rId247" Type="http://schemas.openxmlformats.org/officeDocument/2006/relationships/image" Target="../media/image321.emf"/><Relationship Id="rId107" Type="http://schemas.openxmlformats.org/officeDocument/2006/relationships/image" Target="../media/image181.emf"/><Relationship Id="rId11" Type="http://schemas.openxmlformats.org/officeDocument/2006/relationships/image" Target="../media/image85.emf"/><Relationship Id="rId32" Type="http://schemas.openxmlformats.org/officeDocument/2006/relationships/image" Target="../media/image106.emf"/><Relationship Id="rId53" Type="http://schemas.openxmlformats.org/officeDocument/2006/relationships/image" Target="../media/image127.emf"/><Relationship Id="rId74" Type="http://schemas.openxmlformats.org/officeDocument/2006/relationships/image" Target="../media/image148.emf"/><Relationship Id="rId128" Type="http://schemas.openxmlformats.org/officeDocument/2006/relationships/image" Target="../media/image202.emf"/><Relationship Id="rId149" Type="http://schemas.openxmlformats.org/officeDocument/2006/relationships/image" Target="../media/image223.emf"/><Relationship Id="rId5" Type="http://schemas.openxmlformats.org/officeDocument/2006/relationships/image" Target="../media/image79.emf"/><Relationship Id="rId95" Type="http://schemas.openxmlformats.org/officeDocument/2006/relationships/image" Target="../media/image169.emf"/><Relationship Id="rId160" Type="http://schemas.openxmlformats.org/officeDocument/2006/relationships/image" Target="../media/image234.emf"/><Relationship Id="rId181" Type="http://schemas.openxmlformats.org/officeDocument/2006/relationships/image" Target="../media/image255.emf"/><Relationship Id="rId216" Type="http://schemas.openxmlformats.org/officeDocument/2006/relationships/image" Target="../media/image290.emf"/><Relationship Id="rId237" Type="http://schemas.openxmlformats.org/officeDocument/2006/relationships/image" Target="../media/image311.emf"/><Relationship Id="rId258" Type="http://schemas.openxmlformats.org/officeDocument/2006/relationships/image" Target="../media/image332.emf"/><Relationship Id="rId22" Type="http://schemas.openxmlformats.org/officeDocument/2006/relationships/image" Target="../media/image96.emf"/><Relationship Id="rId43" Type="http://schemas.openxmlformats.org/officeDocument/2006/relationships/image" Target="../media/image117.emf"/><Relationship Id="rId64" Type="http://schemas.openxmlformats.org/officeDocument/2006/relationships/image" Target="../media/image138.emf"/><Relationship Id="rId118" Type="http://schemas.openxmlformats.org/officeDocument/2006/relationships/image" Target="../media/image192.emf"/><Relationship Id="rId139" Type="http://schemas.openxmlformats.org/officeDocument/2006/relationships/image" Target="../media/image213.emf"/><Relationship Id="rId85" Type="http://schemas.openxmlformats.org/officeDocument/2006/relationships/image" Target="../media/image159.emf"/><Relationship Id="rId150" Type="http://schemas.openxmlformats.org/officeDocument/2006/relationships/image" Target="../media/image224.emf"/><Relationship Id="rId171" Type="http://schemas.openxmlformats.org/officeDocument/2006/relationships/image" Target="../media/image245.emf"/><Relationship Id="rId192" Type="http://schemas.openxmlformats.org/officeDocument/2006/relationships/image" Target="../media/image266.emf"/><Relationship Id="rId206" Type="http://schemas.openxmlformats.org/officeDocument/2006/relationships/image" Target="../media/image280.emf"/><Relationship Id="rId227" Type="http://schemas.openxmlformats.org/officeDocument/2006/relationships/image" Target="../media/image301.emf"/><Relationship Id="rId248" Type="http://schemas.openxmlformats.org/officeDocument/2006/relationships/image" Target="../media/image322.emf"/><Relationship Id="rId12" Type="http://schemas.openxmlformats.org/officeDocument/2006/relationships/image" Target="../media/image86.emf"/><Relationship Id="rId33" Type="http://schemas.openxmlformats.org/officeDocument/2006/relationships/image" Target="../media/image107.emf"/><Relationship Id="rId108" Type="http://schemas.openxmlformats.org/officeDocument/2006/relationships/image" Target="../media/image182.emf"/><Relationship Id="rId129" Type="http://schemas.openxmlformats.org/officeDocument/2006/relationships/image" Target="../media/image203.emf"/><Relationship Id="rId54" Type="http://schemas.openxmlformats.org/officeDocument/2006/relationships/image" Target="../media/image128.emf"/><Relationship Id="rId70" Type="http://schemas.openxmlformats.org/officeDocument/2006/relationships/image" Target="../media/image144.emf"/><Relationship Id="rId75" Type="http://schemas.openxmlformats.org/officeDocument/2006/relationships/image" Target="../media/image149.emf"/><Relationship Id="rId91" Type="http://schemas.openxmlformats.org/officeDocument/2006/relationships/image" Target="../media/image165.emf"/><Relationship Id="rId96" Type="http://schemas.openxmlformats.org/officeDocument/2006/relationships/image" Target="../media/image170.emf"/><Relationship Id="rId140" Type="http://schemas.openxmlformats.org/officeDocument/2006/relationships/image" Target="../media/image214.emf"/><Relationship Id="rId145" Type="http://schemas.openxmlformats.org/officeDocument/2006/relationships/image" Target="../media/image219.emf"/><Relationship Id="rId161" Type="http://schemas.openxmlformats.org/officeDocument/2006/relationships/image" Target="../media/image235.emf"/><Relationship Id="rId166" Type="http://schemas.openxmlformats.org/officeDocument/2006/relationships/image" Target="../media/image240.emf"/><Relationship Id="rId182" Type="http://schemas.openxmlformats.org/officeDocument/2006/relationships/image" Target="../media/image256.emf"/><Relationship Id="rId187" Type="http://schemas.openxmlformats.org/officeDocument/2006/relationships/image" Target="../media/image261.emf"/><Relationship Id="rId217" Type="http://schemas.openxmlformats.org/officeDocument/2006/relationships/image" Target="../media/image291.emf"/><Relationship Id="rId1" Type="http://schemas.openxmlformats.org/officeDocument/2006/relationships/image" Target="../media/image75.emf"/><Relationship Id="rId6" Type="http://schemas.openxmlformats.org/officeDocument/2006/relationships/image" Target="../media/image80.emf"/><Relationship Id="rId212" Type="http://schemas.openxmlformats.org/officeDocument/2006/relationships/image" Target="../media/image286.emf"/><Relationship Id="rId233" Type="http://schemas.openxmlformats.org/officeDocument/2006/relationships/image" Target="../media/image307.emf"/><Relationship Id="rId238" Type="http://schemas.openxmlformats.org/officeDocument/2006/relationships/image" Target="../media/image312.emf"/><Relationship Id="rId254" Type="http://schemas.openxmlformats.org/officeDocument/2006/relationships/image" Target="../media/image328.emf"/><Relationship Id="rId23" Type="http://schemas.openxmlformats.org/officeDocument/2006/relationships/image" Target="../media/image97.emf"/><Relationship Id="rId28" Type="http://schemas.openxmlformats.org/officeDocument/2006/relationships/image" Target="../media/image102.emf"/><Relationship Id="rId49" Type="http://schemas.openxmlformats.org/officeDocument/2006/relationships/image" Target="../media/image123.emf"/><Relationship Id="rId114" Type="http://schemas.openxmlformats.org/officeDocument/2006/relationships/image" Target="../media/image188.emf"/><Relationship Id="rId119" Type="http://schemas.openxmlformats.org/officeDocument/2006/relationships/image" Target="../media/image193.emf"/><Relationship Id="rId44" Type="http://schemas.openxmlformats.org/officeDocument/2006/relationships/image" Target="../media/image118.emf"/><Relationship Id="rId60" Type="http://schemas.openxmlformats.org/officeDocument/2006/relationships/image" Target="../media/image134.emf"/><Relationship Id="rId65" Type="http://schemas.openxmlformats.org/officeDocument/2006/relationships/image" Target="../media/image139.emf"/><Relationship Id="rId81" Type="http://schemas.openxmlformats.org/officeDocument/2006/relationships/image" Target="../media/image155.emf"/><Relationship Id="rId86" Type="http://schemas.openxmlformats.org/officeDocument/2006/relationships/image" Target="../media/image160.emf"/><Relationship Id="rId130" Type="http://schemas.openxmlformats.org/officeDocument/2006/relationships/image" Target="../media/image204.emf"/><Relationship Id="rId135" Type="http://schemas.openxmlformats.org/officeDocument/2006/relationships/image" Target="../media/image209.emf"/><Relationship Id="rId151" Type="http://schemas.openxmlformats.org/officeDocument/2006/relationships/image" Target="../media/image225.emf"/><Relationship Id="rId156" Type="http://schemas.openxmlformats.org/officeDocument/2006/relationships/image" Target="../media/image230.emf"/><Relationship Id="rId177" Type="http://schemas.openxmlformats.org/officeDocument/2006/relationships/image" Target="../media/image251.emf"/><Relationship Id="rId198" Type="http://schemas.openxmlformats.org/officeDocument/2006/relationships/image" Target="../media/image272.emf"/><Relationship Id="rId172" Type="http://schemas.openxmlformats.org/officeDocument/2006/relationships/image" Target="../media/image246.emf"/><Relationship Id="rId193" Type="http://schemas.openxmlformats.org/officeDocument/2006/relationships/image" Target="../media/image267.emf"/><Relationship Id="rId202" Type="http://schemas.openxmlformats.org/officeDocument/2006/relationships/image" Target="../media/image276.emf"/><Relationship Id="rId207" Type="http://schemas.openxmlformats.org/officeDocument/2006/relationships/image" Target="../media/image281.emf"/><Relationship Id="rId223" Type="http://schemas.openxmlformats.org/officeDocument/2006/relationships/image" Target="../media/image297.emf"/><Relationship Id="rId228" Type="http://schemas.openxmlformats.org/officeDocument/2006/relationships/image" Target="../media/image302.emf"/><Relationship Id="rId244" Type="http://schemas.openxmlformats.org/officeDocument/2006/relationships/image" Target="../media/image318.emf"/><Relationship Id="rId249" Type="http://schemas.openxmlformats.org/officeDocument/2006/relationships/image" Target="../media/image323.emf"/><Relationship Id="rId13" Type="http://schemas.openxmlformats.org/officeDocument/2006/relationships/image" Target="../media/image87.emf"/><Relationship Id="rId18" Type="http://schemas.openxmlformats.org/officeDocument/2006/relationships/image" Target="../media/image92.emf"/><Relationship Id="rId39" Type="http://schemas.openxmlformats.org/officeDocument/2006/relationships/image" Target="../media/image113.emf"/><Relationship Id="rId109" Type="http://schemas.openxmlformats.org/officeDocument/2006/relationships/image" Target="../media/image183.emf"/><Relationship Id="rId34" Type="http://schemas.openxmlformats.org/officeDocument/2006/relationships/image" Target="../media/image108.emf"/><Relationship Id="rId50" Type="http://schemas.openxmlformats.org/officeDocument/2006/relationships/image" Target="../media/image124.emf"/><Relationship Id="rId55" Type="http://schemas.openxmlformats.org/officeDocument/2006/relationships/image" Target="../media/image129.emf"/><Relationship Id="rId76" Type="http://schemas.openxmlformats.org/officeDocument/2006/relationships/image" Target="../media/image150.emf"/><Relationship Id="rId97" Type="http://schemas.openxmlformats.org/officeDocument/2006/relationships/image" Target="../media/image171.emf"/><Relationship Id="rId104" Type="http://schemas.openxmlformats.org/officeDocument/2006/relationships/image" Target="../media/image178.emf"/><Relationship Id="rId120" Type="http://schemas.openxmlformats.org/officeDocument/2006/relationships/image" Target="../media/image194.emf"/><Relationship Id="rId125" Type="http://schemas.openxmlformats.org/officeDocument/2006/relationships/image" Target="../media/image199.emf"/><Relationship Id="rId141" Type="http://schemas.openxmlformats.org/officeDocument/2006/relationships/image" Target="../media/image215.emf"/><Relationship Id="rId146" Type="http://schemas.openxmlformats.org/officeDocument/2006/relationships/image" Target="../media/image220.emf"/><Relationship Id="rId167" Type="http://schemas.openxmlformats.org/officeDocument/2006/relationships/image" Target="../media/image241.emf"/><Relationship Id="rId188" Type="http://schemas.openxmlformats.org/officeDocument/2006/relationships/image" Target="../media/image262.emf"/><Relationship Id="rId7" Type="http://schemas.openxmlformats.org/officeDocument/2006/relationships/image" Target="../media/image81.emf"/><Relationship Id="rId71" Type="http://schemas.openxmlformats.org/officeDocument/2006/relationships/image" Target="../media/image145.emf"/><Relationship Id="rId92" Type="http://schemas.openxmlformats.org/officeDocument/2006/relationships/image" Target="../media/image166.emf"/><Relationship Id="rId162" Type="http://schemas.openxmlformats.org/officeDocument/2006/relationships/image" Target="../media/image236.emf"/><Relationship Id="rId183" Type="http://schemas.openxmlformats.org/officeDocument/2006/relationships/image" Target="../media/image257.emf"/><Relationship Id="rId213" Type="http://schemas.openxmlformats.org/officeDocument/2006/relationships/image" Target="../media/image287.emf"/><Relationship Id="rId218" Type="http://schemas.openxmlformats.org/officeDocument/2006/relationships/image" Target="../media/image292.emf"/><Relationship Id="rId234" Type="http://schemas.openxmlformats.org/officeDocument/2006/relationships/image" Target="../media/image308.emf"/><Relationship Id="rId239" Type="http://schemas.openxmlformats.org/officeDocument/2006/relationships/image" Target="../media/image313.emf"/><Relationship Id="rId2" Type="http://schemas.openxmlformats.org/officeDocument/2006/relationships/image" Target="../media/image76.emf"/><Relationship Id="rId29" Type="http://schemas.openxmlformats.org/officeDocument/2006/relationships/image" Target="../media/image103.emf"/><Relationship Id="rId250" Type="http://schemas.openxmlformats.org/officeDocument/2006/relationships/image" Target="../media/image324.emf"/><Relationship Id="rId255" Type="http://schemas.openxmlformats.org/officeDocument/2006/relationships/image" Target="../media/image329.emf"/><Relationship Id="rId24" Type="http://schemas.openxmlformats.org/officeDocument/2006/relationships/image" Target="../media/image98.emf"/><Relationship Id="rId40" Type="http://schemas.openxmlformats.org/officeDocument/2006/relationships/image" Target="../media/image114.emf"/><Relationship Id="rId45" Type="http://schemas.openxmlformats.org/officeDocument/2006/relationships/image" Target="../media/image119.emf"/><Relationship Id="rId66" Type="http://schemas.openxmlformats.org/officeDocument/2006/relationships/image" Target="../media/image140.emf"/><Relationship Id="rId87" Type="http://schemas.openxmlformats.org/officeDocument/2006/relationships/image" Target="../media/image161.emf"/><Relationship Id="rId110" Type="http://schemas.openxmlformats.org/officeDocument/2006/relationships/image" Target="../media/image184.emf"/><Relationship Id="rId115" Type="http://schemas.openxmlformats.org/officeDocument/2006/relationships/image" Target="../media/image189.emf"/><Relationship Id="rId131" Type="http://schemas.openxmlformats.org/officeDocument/2006/relationships/image" Target="../media/image205.emf"/><Relationship Id="rId136" Type="http://schemas.openxmlformats.org/officeDocument/2006/relationships/image" Target="../media/image210.emf"/><Relationship Id="rId157" Type="http://schemas.openxmlformats.org/officeDocument/2006/relationships/image" Target="../media/image231.emf"/><Relationship Id="rId178" Type="http://schemas.openxmlformats.org/officeDocument/2006/relationships/image" Target="../media/image252.emf"/><Relationship Id="rId61" Type="http://schemas.openxmlformats.org/officeDocument/2006/relationships/image" Target="../media/image135.emf"/><Relationship Id="rId82" Type="http://schemas.openxmlformats.org/officeDocument/2006/relationships/image" Target="../media/image156.emf"/><Relationship Id="rId152" Type="http://schemas.openxmlformats.org/officeDocument/2006/relationships/image" Target="../media/image226.emf"/><Relationship Id="rId173" Type="http://schemas.openxmlformats.org/officeDocument/2006/relationships/image" Target="../media/image247.emf"/><Relationship Id="rId194" Type="http://schemas.openxmlformats.org/officeDocument/2006/relationships/image" Target="../media/image268.emf"/><Relationship Id="rId199" Type="http://schemas.openxmlformats.org/officeDocument/2006/relationships/image" Target="../media/image273.emf"/><Relationship Id="rId203" Type="http://schemas.openxmlformats.org/officeDocument/2006/relationships/image" Target="../media/image277.emf"/><Relationship Id="rId208" Type="http://schemas.openxmlformats.org/officeDocument/2006/relationships/image" Target="../media/image282.emf"/><Relationship Id="rId229" Type="http://schemas.openxmlformats.org/officeDocument/2006/relationships/image" Target="../media/image303.emf"/><Relationship Id="rId19" Type="http://schemas.openxmlformats.org/officeDocument/2006/relationships/image" Target="../media/image93.emf"/><Relationship Id="rId224" Type="http://schemas.openxmlformats.org/officeDocument/2006/relationships/image" Target="../media/image298.emf"/><Relationship Id="rId240" Type="http://schemas.openxmlformats.org/officeDocument/2006/relationships/image" Target="../media/image314.emf"/><Relationship Id="rId245" Type="http://schemas.openxmlformats.org/officeDocument/2006/relationships/image" Target="../media/image319.emf"/><Relationship Id="rId14" Type="http://schemas.openxmlformats.org/officeDocument/2006/relationships/image" Target="../media/image88.emf"/><Relationship Id="rId30" Type="http://schemas.openxmlformats.org/officeDocument/2006/relationships/image" Target="../media/image104.emf"/><Relationship Id="rId35" Type="http://schemas.openxmlformats.org/officeDocument/2006/relationships/image" Target="../media/image109.emf"/><Relationship Id="rId56" Type="http://schemas.openxmlformats.org/officeDocument/2006/relationships/image" Target="../media/image130.emf"/><Relationship Id="rId77" Type="http://schemas.openxmlformats.org/officeDocument/2006/relationships/image" Target="../media/image151.emf"/><Relationship Id="rId100" Type="http://schemas.openxmlformats.org/officeDocument/2006/relationships/image" Target="../media/image174.emf"/><Relationship Id="rId105" Type="http://schemas.openxmlformats.org/officeDocument/2006/relationships/image" Target="../media/image179.emf"/><Relationship Id="rId126" Type="http://schemas.openxmlformats.org/officeDocument/2006/relationships/image" Target="../media/image200.emf"/><Relationship Id="rId147" Type="http://schemas.openxmlformats.org/officeDocument/2006/relationships/image" Target="../media/image221.emf"/><Relationship Id="rId168" Type="http://schemas.openxmlformats.org/officeDocument/2006/relationships/image" Target="../media/image242.emf"/><Relationship Id="rId8" Type="http://schemas.openxmlformats.org/officeDocument/2006/relationships/image" Target="../media/image82.emf"/><Relationship Id="rId51" Type="http://schemas.openxmlformats.org/officeDocument/2006/relationships/image" Target="../media/image125.emf"/><Relationship Id="rId72" Type="http://schemas.openxmlformats.org/officeDocument/2006/relationships/image" Target="../media/image146.emf"/><Relationship Id="rId93" Type="http://schemas.openxmlformats.org/officeDocument/2006/relationships/image" Target="../media/image167.emf"/><Relationship Id="rId98" Type="http://schemas.openxmlformats.org/officeDocument/2006/relationships/image" Target="../media/image172.emf"/><Relationship Id="rId121" Type="http://schemas.openxmlformats.org/officeDocument/2006/relationships/image" Target="../media/image195.emf"/><Relationship Id="rId142" Type="http://schemas.openxmlformats.org/officeDocument/2006/relationships/image" Target="../media/image216.emf"/><Relationship Id="rId163" Type="http://schemas.openxmlformats.org/officeDocument/2006/relationships/image" Target="../media/image237.emf"/><Relationship Id="rId184" Type="http://schemas.openxmlformats.org/officeDocument/2006/relationships/image" Target="../media/image258.emf"/><Relationship Id="rId189" Type="http://schemas.openxmlformats.org/officeDocument/2006/relationships/image" Target="../media/image263.emf"/><Relationship Id="rId219" Type="http://schemas.openxmlformats.org/officeDocument/2006/relationships/image" Target="../media/image293.emf"/><Relationship Id="rId3" Type="http://schemas.openxmlformats.org/officeDocument/2006/relationships/image" Target="../media/image77.emf"/><Relationship Id="rId214" Type="http://schemas.openxmlformats.org/officeDocument/2006/relationships/image" Target="../media/image288.emf"/><Relationship Id="rId230" Type="http://schemas.openxmlformats.org/officeDocument/2006/relationships/image" Target="../media/image304.emf"/><Relationship Id="rId235" Type="http://schemas.openxmlformats.org/officeDocument/2006/relationships/image" Target="../media/image309.emf"/><Relationship Id="rId251" Type="http://schemas.openxmlformats.org/officeDocument/2006/relationships/image" Target="../media/image325.emf"/><Relationship Id="rId256" Type="http://schemas.openxmlformats.org/officeDocument/2006/relationships/image" Target="../media/image330.emf"/><Relationship Id="rId25" Type="http://schemas.openxmlformats.org/officeDocument/2006/relationships/image" Target="../media/image99.emf"/><Relationship Id="rId46" Type="http://schemas.openxmlformats.org/officeDocument/2006/relationships/image" Target="../media/image120.emf"/><Relationship Id="rId67" Type="http://schemas.openxmlformats.org/officeDocument/2006/relationships/image" Target="../media/image141.emf"/><Relationship Id="rId116" Type="http://schemas.openxmlformats.org/officeDocument/2006/relationships/image" Target="../media/image190.emf"/><Relationship Id="rId137" Type="http://schemas.openxmlformats.org/officeDocument/2006/relationships/image" Target="../media/image211.emf"/><Relationship Id="rId158" Type="http://schemas.openxmlformats.org/officeDocument/2006/relationships/image" Target="../media/image232.emf"/><Relationship Id="rId20" Type="http://schemas.openxmlformats.org/officeDocument/2006/relationships/image" Target="../media/image94.emf"/><Relationship Id="rId41" Type="http://schemas.openxmlformats.org/officeDocument/2006/relationships/image" Target="../media/image115.emf"/><Relationship Id="rId62" Type="http://schemas.openxmlformats.org/officeDocument/2006/relationships/image" Target="../media/image136.emf"/><Relationship Id="rId83" Type="http://schemas.openxmlformats.org/officeDocument/2006/relationships/image" Target="../media/image157.emf"/><Relationship Id="rId88" Type="http://schemas.openxmlformats.org/officeDocument/2006/relationships/image" Target="../media/image162.emf"/><Relationship Id="rId111" Type="http://schemas.openxmlformats.org/officeDocument/2006/relationships/image" Target="../media/image185.emf"/><Relationship Id="rId132" Type="http://schemas.openxmlformats.org/officeDocument/2006/relationships/image" Target="../media/image206.emf"/><Relationship Id="rId153" Type="http://schemas.openxmlformats.org/officeDocument/2006/relationships/image" Target="../media/image227.emf"/><Relationship Id="rId174" Type="http://schemas.openxmlformats.org/officeDocument/2006/relationships/image" Target="../media/image248.emf"/><Relationship Id="rId179" Type="http://schemas.openxmlformats.org/officeDocument/2006/relationships/image" Target="../media/image253.emf"/><Relationship Id="rId195" Type="http://schemas.openxmlformats.org/officeDocument/2006/relationships/image" Target="../media/image269.emf"/><Relationship Id="rId209" Type="http://schemas.openxmlformats.org/officeDocument/2006/relationships/image" Target="../media/image283.emf"/><Relationship Id="rId190" Type="http://schemas.openxmlformats.org/officeDocument/2006/relationships/image" Target="../media/image264.emf"/><Relationship Id="rId204" Type="http://schemas.openxmlformats.org/officeDocument/2006/relationships/image" Target="../media/image278.emf"/><Relationship Id="rId220" Type="http://schemas.openxmlformats.org/officeDocument/2006/relationships/image" Target="../media/image294.emf"/><Relationship Id="rId225" Type="http://schemas.openxmlformats.org/officeDocument/2006/relationships/image" Target="../media/image299.emf"/><Relationship Id="rId241" Type="http://schemas.openxmlformats.org/officeDocument/2006/relationships/image" Target="../media/image315.emf"/><Relationship Id="rId246" Type="http://schemas.openxmlformats.org/officeDocument/2006/relationships/image" Target="../media/image320.emf"/><Relationship Id="rId15" Type="http://schemas.openxmlformats.org/officeDocument/2006/relationships/image" Target="../media/image89.emf"/><Relationship Id="rId36" Type="http://schemas.openxmlformats.org/officeDocument/2006/relationships/image" Target="../media/image110.emf"/><Relationship Id="rId57" Type="http://schemas.openxmlformats.org/officeDocument/2006/relationships/image" Target="../media/image131.emf"/><Relationship Id="rId106" Type="http://schemas.openxmlformats.org/officeDocument/2006/relationships/image" Target="../media/image180.emf"/><Relationship Id="rId127" Type="http://schemas.openxmlformats.org/officeDocument/2006/relationships/image" Target="../media/image201.emf"/><Relationship Id="rId10" Type="http://schemas.openxmlformats.org/officeDocument/2006/relationships/image" Target="../media/image84.emf"/><Relationship Id="rId31" Type="http://schemas.openxmlformats.org/officeDocument/2006/relationships/image" Target="../media/image105.emf"/><Relationship Id="rId52" Type="http://schemas.openxmlformats.org/officeDocument/2006/relationships/image" Target="../media/image126.emf"/><Relationship Id="rId73" Type="http://schemas.openxmlformats.org/officeDocument/2006/relationships/image" Target="../media/image147.emf"/><Relationship Id="rId78" Type="http://schemas.openxmlformats.org/officeDocument/2006/relationships/image" Target="../media/image152.emf"/><Relationship Id="rId94" Type="http://schemas.openxmlformats.org/officeDocument/2006/relationships/image" Target="../media/image168.emf"/><Relationship Id="rId99" Type="http://schemas.openxmlformats.org/officeDocument/2006/relationships/image" Target="../media/image173.emf"/><Relationship Id="rId101" Type="http://schemas.openxmlformats.org/officeDocument/2006/relationships/image" Target="../media/image175.emf"/><Relationship Id="rId122" Type="http://schemas.openxmlformats.org/officeDocument/2006/relationships/image" Target="../media/image196.emf"/><Relationship Id="rId143" Type="http://schemas.openxmlformats.org/officeDocument/2006/relationships/image" Target="../media/image217.emf"/><Relationship Id="rId148" Type="http://schemas.openxmlformats.org/officeDocument/2006/relationships/image" Target="../media/image222.emf"/><Relationship Id="rId164" Type="http://schemas.openxmlformats.org/officeDocument/2006/relationships/image" Target="../media/image238.emf"/><Relationship Id="rId169" Type="http://schemas.openxmlformats.org/officeDocument/2006/relationships/image" Target="../media/image243.emf"/><Relationship Id="rId185" Type="http://schemas.openxmlformats.org/officeDocument/2006/relationships/image" Target="../media/image259.emf"/><Relationship Id="rId4" Type="http://schemas.openxmlformats.org/officeDocument/2006/relationships/image" Target="../media/image78.emf"/><Relationship Id="rId9" Type="http://schemas.openxmlformats.org/officeDocument/2006/relationships/image" Target="../media/image83.emf"/><Relationship Id="rId180" Type="http://schemas.openxmlformats.org/officeDocument/2006/relationships/image" Target="../media/image254.emf"/><Relationship Id="rId210" Type="http://schemas.openxmlformats.org/officeDocument/2006/relationships/image" Target="../media/image284.emf"/><Relationship Id="rId215" Type="http://schemas.openxmlformats.org/officeDocument/2006/relationships/image" Target="../media/image289.emf"/><Relationship Id="rId236" Type="http://schemas.openxmlformats.org/officeDocument/2006/relationships/image" Target="../media/image310.emf"/><Relationship Id="rId257" Type="http://schemas.openxmlformats.org/officeDocument/2006/relationships/image" Target="../media/image331.emf"/><Relationship Id="rId26" Type="http://schemas.openxmlformats.org/officeDocument/2006/relationships/image" Target="../media/image100.emf"/><Relationship Id="rId231" Type="http://schemas.openxmlformats.org/officeDocument/2006/relationships/image" Target="../media/image305.emf"/><Relationship Id="rId252" Type="http://schemas.openxmlformats.org/officeDocument/2006/relationships/image" Target="../media/image326.emf"/><Relationship Id="rId47" Type="http://schemas.openxmlformats.org/officeDocument/2006/relationships/image" Target="../media/image121.emf"/><Relationship Id="rId68" Type="http://schemas.openxmlformats.org/officeDocument/2006/relationships/image" Target="../media/image142.emf"/><Relationship Id="rId89" Type="http://schemas.openxmlformats.org/officeDocument/2006/relationships/image" Target="../media/image163.emf"/><Relationship Id="rId112" Type="http://schemas.openxmlformats.org/officeDocument/2006/relationships/image" Target="../media/image186.emf"/><Relationship Id="rId133" Type="http://schemas.openxmlformats.org/officeDocument/2006/relationships/image" Target="../media/image207.emf"/><Relationship Id="rId154" Type="http://schemas.openxmlformats.org/officeDocument/2006/relationships/image" Target="../media/image228.emf"/><Relationship Id="rId175" Type="http://schemas.openxmlformats.org/officeDocument/2006/relationships/image" Target="../media/image249.emf"/><Relationship Id="rId196" Type="http://schemas.openxmlformats.org/officeDocument/2006/relationships/image" Target="../media/image270.emf"/><Relationship Id="rId200" Type="http://schemas.openxmlformats.org/officeDocument/2006/relationships/image" Target="../media/image274.emf"/><Relationship Id="rId16" Type="http://schemas.openxmlformats.org/officeDocument/2006/relationships/image" Target="../media/image90.emf"/><Relationship Id="rId221" Type="http://schemas.openxmlformats.org/officeDocument/2006/relationships/image" Target="../media/image295.emf"/><Relationship Id="rId242" Type="http://schemas.openxmlformats.org/officeDocument/2006/relationships/image" Target="../media/image316.emf"/><Relationship Id="rId37" Type="http://schemas.openxmlformats.org/officeDocument/2006/relationships/image" Target="../media/image111.emf"/><Relationship Id="rId58" Type="http://schemas.openxmlformats.org/officeDocument/2006/relationships/image" Target="../media/image132.emf"/><Relationship Id="rId79" Type="http://schemas.openxmlformats.org/officeDocument/2006/relationships/image" Target="../media/image153.emf"/><Relationship Id="rId102" Type="http://schemas.openxmlformats.org/officeDocument/2006/relationships/image" Target="../media/image176.emf"/><Relationship Id="rId123" Type="http://schemas.openxmlformats.org/officeDocument/2006/relationships/image" Target="../media/image197.emf"/><Relationship Id="rId144" Type="http://schemas.openxmlformats.org/officeDocument/2006/relationships/image" Target="../media/image218.emf"/><Relationship Id="rId90" Type="http://schemas.openxmlformats.org/officeDocument/2006/relationships/image" Target="../media/image164.emf"/><Relationship Id="rId165" Type="http://schemas.openxmlformats.org/officeDocument/2006/relationships/image" Target="../media/image239.emf"/><Relationship Id="rId186" Type="http://schemas.openxmlformats.org/officeDocument/2006/relationships/image" Target="../media/image260.emf"/><Relationship Id="rId211" Type="http://schemas.openxmlformats.org/officeDocument/2006/relationships/image" Target="../media/image285.emf"/><Relationship Id="rId232" Type="http://schemas.openxmlformats.org/officeDocument/2006/relationships/image" Target="../media/image306.emf"/><Relationship Id="rId253" Type="http://schemas.openxmlformats.org/officeDocument/2006/relationships/image" Target="../media/image327.emf"/><Relationship Id="rId27" Type="http://schemas.openxmlformats.org/officeDocument/2006/relationships/image" Target="../media/image101.emf"/><Relationship Id="rId48" Type="http://schemas.openxmlformats.org/officeDocument/2006/relationships/image" Target="../media/image122.emf"/><Relationship Id="rId69" Type="http://schemas.openxmlformats.org/officeDocument/2006/relationships/image" Target="../media/image143.emf"/><Relationship Id="rId113" Type="http://schemas.openxmlformats.org/officeDocument/2006/relationships/image" Target="../media/image187.emf"/><Relationship Id="rId134" Type="http://schemas.openxmlformats.org/officeDocument/2006/relationships/image" Target="../media/image208.emf"/><Relationship Id="rId80" Type="http://schemas.openxmlformats.org/officeDocument/2006/relationships/image" Target="../media/image154.emf"/><Relationship Id="rId155" Type="http://schemas.openxmlformats.org/officeDocument/2006/relationships/image" Target="../media/image229.emf"/><Relationship Id="rId176" Type="http://schemas.openxmlformats.org/officeDocument/2006/relationships/image" Target="../media/image250.emf"/><Relationship Id="rId197" Type="http://schemas.openxmlformats.org/officeDocument/2006/relationships/image" Target="../media/image271.emf"/><Relationship Id="rId201" Type="http://schemas.openxmlformats.org/officeDocument/2006/relationships/image" Target="../media/image275.emf"/><Relationship Id="rId222" Type="http://schemas.openxmlformats.org/officeDocument/2006/relationships/image" Target="../media/image296.emf"/><Relationship Id="rId243" Type="http://schemas.openxmlformats.org/officeDocument/2006/relationships/image" Target="../media/image317.emf"/><Relationship Id="rId17" Type="http://schemas.openxmlformats.org/officeDocument/2006/relationships/image" Target="../media/image91.emf"/><Relationship Id="rId38" Type="http://schemas.openxmlformats.org/officeDocument/2006/relationships/image" Target="../media/image112.emf"/><Relationship Id="rId59" Type="http://schemas.openxmlformats.org/officeDocument/2006/relationships/image" Target="../media/image133.emf"/><Relationship Id="rId103" Type="http://schemas.openxmlformats.org/officeDocument/2006/relationships/image" Target="../media/image177.emf"/><Relationship Id="rId124" Type="http://schemas.openxmlformats.org/officeDocument/2006/relationships/image" Target="../media/image198.emf"/></Relationships>
</file>

<file path=xl/drawings/_rels/vmlDrawing2.vml.rels><?xml version="1.0" encoding="UTF-8" standalone="yes"?>
<Relationships xmlns="http://schemas.openxmlformats.org/package/2006/relationships"><Relationship Id="rId13" Type="http://schemas.openxmlformats.org/officeDocument/2006/relationships/image" Target="../media/image369.emf"/><Relationship Id="rId18" Type="http://schemas.openxmlformats.org/officeDocument/2006/relationships/image" Target="../media/image374.emf"/><Relationship Id="rId26" Type="http://schemas.openxmlformats.org/officeDocument/2006/relationships/image" Target="../media/image382.emf"/><Relationship Id="rId39" Type="http://schemas.openxmlformats.org/officeDocument/2006/relationships/image" Target="../media/image395.emf"/><Relationship Id="rId3" Type="http://schemas.openxmlformats.org/officeDocument/2006/relationships/image" Target="../media/image359.emf"/><Relationship Id="rId21" Type="http://schemas.openxmlformats.org/officeDocument/2006/relationships/image" Target="../media/image377.emf"/><Relationship Id="rId34" Type="http://schemas.openxmlformats.org/officeDocument/2006/relationships/image" Target="../media/image390.emf"/><Relationship Id="rId42" Type="http://schemas.openxmlformats.org/officeDocument/2006/relationships/image" Target="../media/image398.emf"/><Relationship Id="rId47" Type="http://schemas.openxmlformats.org/officeDocument/2006/relationships/image" Target="../media/image403.emf"/><Relationship Id="rId50" Type="http://schemas.openxmlformats.org/officeDocument/2006/relationships/image" Target="../media/image406.emf"/><Relationship Id="rId7" Type="http://schemas.openxmlformats.org/officeDocument/2006/relationships/image" Target="../media/image363.emf"/><Relationship Id="rId12" Type="http://schemas.openxmlformats.org/officeDocument/2006/relationships/image" Target="../media/image368.emf"/><Relationship Id="rId17" Type="http://schemas.openxmlformats.org/officeDocument/2006/relationships/image" Target="../media/image373.emf"/><Relationship Id="rId25" Type="http://schemas.openxmlformats.org/officeDocument/2006/relationships/image" Target="../media/image381.emf"/><Relationship Id="rId33" Type="http://schemas.openxmlformats.org/officeDocument/2006/relationships/image" Target="../media/image389.emf"/><Relationship Id="rId38" Type="http://schemas.openxmlformats.org/officeDocument/2006/relationships/image" Target="../media/image394.emf"/><Relationship Id="rId46" Type="http://schemas.openxmlformats.org/officeDocument/2006/relationships/image" Target="../media/image402.emf"/><Relationship Id="rId2" Type="http://schemas.openxmlformats.org/officeDocument/2006/relationships/image" Target="../media/image358.emf"/><Relationship Id="rId16" Type="http://schemas.openxmlformats.org/officeDocument/2006/relationships/image" Target="../media/image372.emf"/><Relationship Id="rId20" Type="http://schemas.openxmlformats.org/officeDocument/2006/relationships/image" Target="../media/image376.emf"/><Relationship Id="rId29" Type="http://schemas.openxmlformats.org/officeDocument/2006/relationships/image" Target="../media/image385.emf"/><Relationship Id="rId41" Type="http://schemas.openxmlformats.org/officeDocument/2006/relationships/image" Target="../media/image397.emf"/><Relationship Id="rId54" Type="http://schemas.openxmlformats.org/officeDocument/2006/relationships/image" Target="../media/image410.emf"/><Relationship Id="rId1" Type="http://schemas.openxmlformats.org/officeDocument/2006/relationships/image" Target="../media/image357.emf"/><Relationship Id="rId6" Type="http://schemas.openxmlformats.org/officeDocument/2006/relationships/image" Target="../media/image362.emf"/><Relationship Id="rId11" Type="http://schemas.openxmlformats.org/officeDocument/2006/relationships/image" Target="../media/image367.emf"/><Relationship Id="rId24" Type="http://schemas.openxmlformats.org/officeDocument/2006/relationships/image" Target="../media/image380.emf"/><Relationship Id="rId32" Type="http://schemas.openxmlformats.org/officeDocument/2006/relationships/image" Target="../media/image388.emf"/><Relationship Id="rId37" Type="http://schemas.openxmlformats.org/officeDocument/2006/relationships/image" Target="../media/image393.emf"/><Relationship Id="rId40" Type="http://schemas.openxmlformats.org/officeDocument/2006/relationships/image" Target="../media/image396.emf"/><Relationship Id="rId45" Type="http://schemas.openxmlformats.org/officeDocument/2006/relationships/image" Target="../media/image401.emf"/><Relationship Id="rId53" Type="http://schemas.openxmlformats.org/officeDocument/2006/relationships/image" Target="../media/image409.emf"/><Relationship Id="rId5" Type="http://schemas.openxmlformats.org/officeDocument/2006/relationships/image" Target="../media/image361.emf"/><Relationship Id="rId15" Type="http://schemas.openxmlformats.org/officeDocument/2006/relationships/image" Target="../media/image371.emf"/><Relationship Id="rId23" Type="http://schemas.openxmlformats.org/officeDocument/2006/relationships/image" Target="../media/image379.emf"/><Relationship Id="rId28" Type="http://schemas.openxmlformats.org/officeDocument/2006/relationships/image" Target="../media/image384.emf"/><Relationship Id="rId36" Type="http://schemas.openxmlformats.org/officeDocument/2006/relationships/image" Target="../media/image392.emf"/><Relationship Id="rId49" Type="http://schemas.openxmlformats.org/officeDocument/2006/relationships/image" Target="../media/image405.emf"/><Relationship Id="rId10" Type="http://schemas.openxmlformats.org/officeDocument/2006/relationships/image" Target="../media/image366.emf"/><Relationship Id="rId19" Type="http://schemas.openxmlformats.org/officeDocument/2006/relationships/image" Target="../media/image375.emf"/><Relationship Id="rId31" Type="http://schemas.openxmlformats.org/officeDocument/2006/relationships/image" Target="../media/image387.emf"/><Relationship Id="rId44" Type="http://schemas.openxmlformats.org/officeDocument/2006/relationships/image" Target="../media/image400.emf"/><Relationship Id="rId52" Type="http://schemas.openxmlformats.org/officeDocument/2006/relationships/image" Target="../media/image408.emf"/><Relationship Id="rId4" Type="http://schemas.openxmlformats.org/officeDocument/2006/relationships/image" Target="../media/image360.emf"/><Relationship Id="rId9" Type="http://schemas.openxmlformats.org/officeDocument/2006/relationships/image" Target="../media/image365.emf"/><Relationship Id="rId14" Type="http://schemas.openxmlformats.org/officeDocument/2006/relationships/image" Target="../media/image370.emf"/><Relationship Id="rId22" Type="http://schemas.openxmlformats.org/officeDocument/2006/relationships/image" Target="../media/image378.emf"/><Relationship Id="rId27" Type="http://schemas.openxmlformats.org/officeDocument/2006/relationships/image" Target="../media/image383.emf"/><Relationship Id="rId30" Type="http://schemas.openxmlformats.org/officeDocument/2006/relationships/image" Target="../media/image386.emf"/><Relationship Id="rId35" Type="http://schemas.openxmlformats.org/officeDocument/2006/relationships/image" Target="../media/image391.emf"/><Relationship Id="rId43" Type="http://schemas.openxmlformats.org/officeDocument/2006/relationships/image" Target="../media/image399.emf"/><Relationship Id="rId48" Type="http://schemas.openxmlformats.org/officeDocument/2006/relationships/image" Target="../media/image404.emf"/><Relationship Id="rId8" Type="http://schemas.openxmlformats.org/officeDocument/2006/relationships/image" Target="../media/image364.emf"/><Relationship Id="rId51" Type="http://schemas.openxmlformats.org/officeDocument/2006/relationships/image" Target="../media/image407.emf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422.emf"/><Relationship Id="rId1" Type="http://schemas.openxmlformats.org/officeDocument/2006/relationships/image" Target="../media/image42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405362</xdr:colOff>
      <xdr:row>16</xdr:row>
      <xdr:rowOff>337920</xdr:rowOff>
    </xdr:from>
    <xdr:to>
      <xdr:col>3</xdr:col>
      <xdr:colOff>618013</xdr:colOff>
      <xdr:row>17</xdr:row>
      <xdr:rowOff>4381499</xdr:rowOff>
    </xdr:to>
    <xdr:pic>
      <xdr:nvPicPr>
        <xdr:cNvPr id="2" name="image1.jpeg"/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24487" y="11267858"/>
          <a:ext cx="10452026" cy="5853329"/>
        </a:xfrm>
        <a:prstGeom prst="rect">
          <a:avLst/>
        </a:prstGeom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257537</xdr:colOff>
      <xdr:row>15</xdr:row>
      <xdr:rowOff>230920</xdr:rowOff>
    </xdr:from>
    <xdr:to>
      <xdr:col>4</xdr:col>
      <xdr:colOff>755484</xdr:colOff>
      <xdr:row>16</xdr:row>
      <xdr:rowOff>71437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76662" y="7255608"/>
          <a:ext cx="13070947" cy="3745767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</xdr:col>
      <xdr:colOff>183124</xdr:colOff>
      <xdr:row>27</xdr:row>
      <xdr:rowOff>153363</xdr:rowOff>
    </xdr:from>
    <xdr:to>
      <xdr:col>2</xdr:col>
      <xdr:colOff>7735978</xdr:colOff>
      <xdr:row>27</xdr:row>
      <xdr:rowOff>3952875</xdr:rowOff>
    </xdr:to>
    <xdr:pic>
      <xdr:nvPicPr>
        <xdr:cNvPr id="5" name="image2.png"/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849999" y="26442363"/>
          <a:ext cx="7552854" cy="3799512"/>
        </a:xfrm>
        <a:prstGeom prst="rect">
          <a:avLst/>
        </a:prstGeom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655183</xdr:colOff>
      <xdr:row>31</xdr:row>
      <xdr:rowOff>271462</xdr:rowOff>
    </xdr:from>
    <xdr:to>
      <xdr:col>2</xdr:col>
      <xdr:colOff>8742232</xdr:colOff>
      <xdr:row>33</xdr:row>
      <xdr:rowOff>1098777</xdr:rowOff>
    </xdr:to>
    <xdr:pic>
      <xdr:nvPicPr>
        <xdr:cNvPr id="15" name="image12.png"/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274308" y="33061275"/>
          <a:ext cx="9134799" cy="5780314"/>
        </a:xfrm>
        <a:prstGeom prst="rect">
          <a:avLst/>
        </a:prstGeom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403411</xdr:colOff>
      <xdr:row>59</xdr:row>
      <xdr:rowOff>134472</xdr:rowOff>
    </xdr:from>
    <xdr:to>
      <xdr:col>2</xdr:col>
      <xdr:colOff>9167813</xdr:colOff>
      <xdr:row>59</xdr:row>
      <xdr:rowOff>1097371</xdr:rowOff>
    </xdr:to>
    <xdr:pic>
      <xdr:nvPicPr>
        <xdr:cNvPr id="1132" name="Picture 108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022536" y="59475222"/>
          <a:ext cx="9812152" cy="96289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82441</xdr:colOff>
      <xdr:row>68</xdr:row>
      <xdr:rowOff>134471</xdr:rowOff>
    </xdr:from>
    <xdr:to>
      <xdr:col>2</xdr:col>
      <xdr:colOff>8114491</xdr:colOff>
      <xdr:row>68</xdr:row>
      <xdr:rowOff>2422072</xdr:rowOff>
    </xdr:to>
    <xdr:pic>
      <xdr:nvPicPr>
        <xdr:cNvPr id="1133" name="Picture 109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94762" y="47024685"/>
          <a:ext cx="9090005" cy="2287601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281747</xdr:colOff>
      <xdr:row>79</xdr:row>
      <xdr:rowOff>196102</xdr:rowOff>
    </xdr:from>
    <xdr:to>
      <xdr:col>3</xdr:col>
      <xdr:colOff>1194527</xdr:colOff>
      <xdr:row>80</xdr:row>
      <xdr:rowOff>1714500</xdr:rowOff>
    </xdr:to>
    <xdr:pic>
      <xdr:nvPicPr>
        <xdr:cNvPr id="1146" name="Picture 12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94068" y="61904495"/>
          <a:ext cx="11176586" cy="6716326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6</xdr:col>
      <xdr:colOff>926085</xdr:colOff>
      <xdr:row>79</xdr:row>
      <xdr:rowOff>187296</xdr:rowOff>
    </xdr:from>
    <xdr:to>
      <xdr:col>8</xdr:col>
      <xdr:colOff>408003</xdr:colOff>
      <xdr:row>79</xdr:row>
      <xdr:rowOff>4844142</xdr:rowOff>
    </xdr:to>
    <xdr:pic>
      <xdr:nvPicPr>
        <xdr:cNvPr id="1147" name="Picture 123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2532978" y="61895689"/>
          <a:ext cx="11581863" cy="4656846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schemeClr val="tx1">
              <a:alpha val="40000"/>
            </a:schemeClr>
          </a:outerShdw>
        </a:effectLst>
      </xdr:spPr>
    </xdr:pic>
    <xdr:clientData/>
  </xdr:twoCellAnchor>
  <xdr:twoCellAnchor editAs="oneCell">
    <xdr:from>
      <xdr:col>1</xdr:col>
      <xdr:colOff>190234</xdr:colOff>
      <xdr:row>93</xdr:row>
      <xdr:rowOff>212645</xdr:rowOff>
    </xdr:from>
    <xdr:to>
      <xdr:col>5</xdr:col>
      <xdr:colOff>2874829</xdr:colOff>
      <xdr:row>94</xdr:row>
      <xdr:rowOff>5039590</xdr:rowOff>
    </xdr:to>
    <xdr:pic>
      <xdr:nvPicPr>
        <xdr:cNvPr id="1171" name="Picture 147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796370" y="60272100"/>
          <a:ext cx="16530483" cy="1002239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177491</xdr:colOff>
      <xdr:row>98</xdr:row>
      <xdr:rowOff>106692</xdr:rowOff>
    </xdr:from>
    <xdr:to>
      <xdr:col>3</xdr:col>
      <xdr:colOff>2248599</xdr:colOff>
      <xdr:row>98</xdr:row>
      <xdr:rowOff>3048000</xdr:rowOff>
    </xdr:to>
    <xdr:pic>
      <xdr:nvPicPr>
        <xdr:cNvPr id="1172" name="Picture 148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96616" y="108382130"/>
          <a:ext cx="12310483" cy="294130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</xdr:col>
      <xdr:colOff>176893</xdr:colOff>
      <xdr:row>99</xdr:row>
      <xdr:rowOff>108857</xdr:rowOff>
    </xdr:from>
    <xdr:to>
      <xdr:col>2</xdr:col>
      <xdr:colOff>8387502</xdr:colOff>
      <xdr:row>99</xdr:row>
      <xdr:rowOff>1262063</xdr:rowOff>
    </xdr:to>
    <xdr:pic>
      <xdr:nvPicPr>
        <xdr:cNvPr id="1173" name="Picture 149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843768" y="111646607"/>
          <a:ext cx="8210609" cy="1153206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7</xdr:col>
      <xdr:colOff>122465</xdr:colOff>
      <xdr:row>106</xdr:row>
      <xdr:rowOff>421820</xdr:rowOff>
    </xdr:from>
    <xdr:to>
      <xdr:col>7</xdr:col>
      <xdr:colOff>6366782</xdr:colOff>
      <xdr:row>106</xdr:row>
      <xdr:rowOff>857249</xdr:rowOff>
    </xdr:to>
    <xdr:pic>
      <xdr:nvPicPr>
        <xdr:cNvPr id="1148" name="Picture 124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4219465" y="108584999"/>
          <a:ext cx="6244317" cy="43542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223899</xdr:colOff>
      <xdr:row>113</xdr:row>
      <xdr:rowOff>141020</xdr:rowOff>
    </xdr:from>
    <xdr:to>
      <xdr:col>5</xdr:col>
      <xdr:colOff>246475</xdr:colOff>
      <xdr:row>113</xdr:row>
      <xdr:rowOff>4927332</xdr:rowOff>
    </xdr:to>
    <xdr:pic>
      <xdr:nvPicPr>
        <xdr:cNvPr id="1150" name="Picture 126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830035" y="68755656"/>
          <a:ext cx="13855783" cy="4786312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204107</xdr:colOff>
      <xdr:row>113</xdr:row>
      <xdr:rowOff>5104783</xdr:rowOff>
    </xdr:from>
    <xdr:to>
      <xdr:col>5</xdr:col>
      <xdr:colOff>265030</xdr:colOff>
      <xdr:row>114</xdr:row>
      <xdr:rowOff>3497667</xdr:rowOff>
    </xdr:to>
    <xdr:pic>
      <xdr:nvPicPr>
        <xdr:cNvPr id="1151" name="Picture 127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816428" y="115404283"/>
          <a:ext cx="13892893" cy="359080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295647</xdr:colOff>
      <xdr:row>124</xdr:row>
      <xdr:rowOff>236270</xdr:rowOff>
    </xdr:from>
    <xdr:to>
      <xdr:col>3</xdr:col>
      <xdr:colOff>2001426</xdr:colOff>
      <xdr:row>124</xdr:row>
      <xdr:rowOff>4212277</xdr:rowOff>
    </xdr:to>
    <xdr:pic>
      <xdr:nvPicPr>
        <xdr:cNvPr id="1156" name="Picture 132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01783" y="80679225"/>
          <a:ext cx="11970822" cy="3976007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294410</xdr:colOff>
      <xdr:row>124</xdr:row>
      <xdr:rowOff>4401549</xdr:rowOff>
    </xdr:from>
    <xdr:to>
      <xdr:col>3</xdr:col>
      <xdr:colOff>2013549</xdr:colOff>
      <xdr:row>126</xdr:row>
      <xdr:rowOff>1646627</xdr:rowOff>
    </xdr:to>
    <xdr:pic>
      <xdr:nvPicPr>
        <xdr:cNvPr id="1157" name="Picture 133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900546" y="84844504"/>
          <a:ext cx="11984182" cy="706448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</xdr:col>
      <xdr:colOff>176891</xdr:colOff>
      <xdr:row>120</xdr:row>
      <xdr:rowOff>105145</xdr:rowOff>
    </xdr:from>
    <xdr:to>
      <xdr:col>2</xdr:col>
      <xdr:colOff>6321136</xdr:colOff>
      <xdr:row>120</xdr:row>
      <xdr:rowOff>4985733</xdr:rowOff>
    </xdr:to>
    <xdr:pic>
      <xdr:nvPicPr>
        <xdr:cNvPr id="1158" name="Picture 134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1839436" y="132329463"/>
          <a:ext cx="6144245" cy="488058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225137</xdr:colOff>
      <xdr:row>132</xdr:row>
      <xdr:rowOff>103909</xdr:rowOff>
    </xdr:from>
    <xdr:to>
      <xdr:col>3</xdr:col>
      <xdr:colOff>1799669</xdr:colOff>
      <xdr:row>132</xdr:row>
      <xdr:rowOff>1504084</xdr:rowOff>
    </xdr:to>
    <xdr:pic>
      <xdr:nvPicPr>
        <xdr:cNvPr id="52" name="Picture 137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831273" y="152244136"/>
          <a:ext cx="11833390" cy="1400175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588819</xdr:colOff>
      <xdr:row>136</xdr:row>
      <xdr:rowOff>173181</xdr:rowOff>
    </xdr:from>
    <xdr:to>
      <xdr:col>2</xdr:col>
      <xdr:colOff>7587530</xdr:colOff>
      <xdr:row>136</xdr:row>
      <xdr:rowOff>4961841</xdr:rowOff>
    </xdr:to>
    <xdr:pic>
      <xdr:nvPicPr>
        <xdr:cNvPr id="3" name="Picture 132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1194955" y="156002181"/>
          <a:ext cx="8052955" cy="478866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571500</xdr:colOff>
      <xdr:row>139</xdr:row>
      <xdr:rowOff>136072</xdr:rowOff>
    </xdr:from>
    <xdr:to>
      <xdr:col>2</xdr:col>
      <xdr:colOff>5681181</xdr:colOff>
      <xdr:row>139</xdr:row>
      <xdr:rowOff>1020537</xdr:rowOff>
    </xdr:to>
    <xdr:pic>
      <xdr:nvPicPr>
        <xdr:cNvPr id="4" name="Picture 133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1183821" y="100665643"/>
          <a:ext cx="6164853" cy="884465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</xdr:col>
      <xdr:colOff>91848</xdr:colOff>
      <xdr:row>143</xdr:row>
      <xdr:rowOff>139473</xdr:rowOff>
    </xdr:from>
    <xdr:to>
      <xdr:col>4</xdr:col>
      <xdr:colOff>359517</xdr:colOff>
      <xdr:row>143</xdr:row>
      <xdr:rowOff>5006748</xdr:rowOff>
    </xdr:to>
    <xdr:pic>
      <xdr:nvPicPr>
        <xdr:cNvPr id="1160" name="Picture 136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1479777" y="133149294"/>
          <a:ext cx="11815082" cy="4867275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231323</xdr:colOff>
      <xdr:row>157</xdr:row>
      <xdr:rowOff>122463</xdr:rowOff>
    </xdr:from>
    <xdr:to>
      <xdr:col>2</xdr:col>
      <xdr:colOff>7439611</xdr:colOff>
      <xdr:row>157</xdr:row>
      <xdr:rowOff>1660071</xdr:rowOff>
    </xdr:to>
    <xdr:pic>
      <xdr:nvPicPr>
        <xdr:cNvPr id="6" name="Picture 139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843644" y="148385892"/>
          <a:ext cx="8277376" cy="153760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399555</xdr:colOff>
      <xdr:row>74</xdr:row>
      <xdr:rowOff>133597</xdr:rowOff>
    </xdr:from>
    <xdr:to>
      <xdr:col>2</xdr:col>
      <xdr:colOff>8354475</xdr:colOff>
      <xdr:row>75</xdr:row>
      <xdr:rowOff>4915052</xdr:rowOff>
    </xdr:to>
    <xdr:pic>
      <xdr:nvPicPr>
        <xdr:cNvPr id="1186" name="Picture 162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1005691" y="60262324"/>
          <a:ext cx="9038853" cy="997691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209054</xdr:colOff>
      <xdr:row>178</xdr:row>
      <xdr:rowOff>195448</xdr:rowOff>
    </xdr:from>
    <xdr:to>
      <xdr:col>5</xdr:col>
      <xdr:colOff>536430</xdr:colOff>
      <xdr:row>179</xdr:row>
      <xdr:rowOff>2580783</xdr:rowOff>
    </xdr:to>
    <xdr:pic>
      <xdr:nvPicPr>
        <xdr:cNvPr id="1212" name="Picture 188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815190" y="157686993"/>
          <a:ext cx="14139553" cy="758078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145677</xdr:colOff>
      <xdr:row>188</xdr:row>
      <xdr:rowOff>123263</xdr:rowOff>
    </xdr:from>
    <xdr:to>
      <xdr:col>5</xdr:col>
      <xdr:colOff>2287572</xdr:colOff>
      <xdr:row>189</xdr:row>
      <xdr:rowOff>2294965</xdr:rowOff>
    </xdr:to>
    <xdr:pic>
      <xdr:nvPicPr>
        <xdr:cNvPr id="1214" name="Picture 190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750795" y="166653881"/>
          <a:ext cx="15984071" cy="737123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160197</xdr:colOff>
      <xdr:row>205</xdr:row>
      <xdr:rowOff>3755575</xdr:rowOff>
    </xdr:from>
    <xdr:to>
      <xdr:col>3</xdr:col>
      <xdr:colOff>1781505</xdr:colOff>
      <xdr:row>206</xdr:row>
      <xdr:rowOff>3861955</xdr:rowOff>
    </xdr:to>
    <xdr:pic>
      <xdr:nvPicPr>
        <xdr:cNvPr id="1247" name="Picture 22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766333" y="213946348"/>
          <a:ext cx="11914802" cy="4747652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</xdr:col>
      <xdr:colOff>367393</xdr:colOff>
      <xdr:row>87</xdr:row>
      <xdr:rowOff>122463</xdr:rowOff>
    </xdr:from>
    <xdr:to>
      <xdr:col>2</xdr:col>
      <xdr:colOff>7664224</xdr:colOff>
      <xdr:row>88</xdr:row>
      <xdr:rowOff>4542249</xdr:rowOff>
    </xdr:to>
    <xdr:pic>
      <xdr:nvPicPr>
        <xdr:cNvPr id="1257" name="Picture 233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2027464" y="71627999"/>
          <a:ext cx="7307036" cy="916867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149680</xdr:colOff>
      <xdr:row>40</xdr:row>
      <xdr:rowOff>176894</xdr:rowOff>
    </xdr:from>
    <xdr:to>
      <xdr:col>2</xdr:col>
      <xdr:colOff>8286086</xdr:colOff>
      <xdr:row>40</xdr:row>
      <xdr:rowOff>3755571</xdr:rowOff>
    </xdr:to>
    <xdr:pic>
      <xdr:nvPicPr>
        <xdr:cNvPr id="1258" name="Picture 234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762001" y="28153180"/>
          <a:ext cx="9194361" cy="3578677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163286</xdr:colOff>
      <xdr:row>204</xdr:row>
      <xdr:rowOff>136073</xdr:rowOff>
    </xdr:from>
    <xdr:to>
      <xdr:col>3</xdr:col>
      <xdr:colOff>1777279</xdr:colOff>
      <xdr:row>204</xdr:row>
      <xdr:rowOff>3269152</xdr:rowOff>
    </xdr:to>
    <xdr:pic>
      <xdr:nvPicPr>
        <xdr:cNvPr id="8" name="Picture 234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769422" y="206153164"/>
          <a:ext cx="11907487" cy="313307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166996</xdr:colOff>
      <xdr:row>204</xdr:row>
      <xdr:rowOff>3410443</xdr:rowOff>
    </xdr:from>
    <xdr:to>
      <xdr:col>3</xdr:col>
      <xdr:colOff>1761113</xdr:colOff>
      <xdr:row>205</xdr:row>
      <xdr:rowOff>3602183</xdr:rowOff>
    </xdr:to>
    <xdr:pic>
      <xdr:nvPicPr>
        <xdr:cNvPr id="1266" name="Picture 242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773132" y="209427534"/>
          <a:ext cx="11887611" cy="4365421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6</xdr:col>
      <xdr:colOff>1333500</xdr:colOff>
      <xdr:row>205</xdr:row>
      <xdr:rowOff>969814</xdr:rowOff>
    </xdr:from>
    <xdr:to>
      <xdr:col>12</xdr:col>
      <xdr:colOff>241301</xdr:colOff>
      <xdr:row>206</xdr:row>
      <xdr:rowOff>3868878</xdr:rowOff>
    </xdr:to>
    <xdr:pic>
      <xdr:nvPicPr>
        <xdr:cNvPr id="1267" name="Picture 243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12936682" y="211160587"/>
          <a:ext cx="15250391" cy="7540336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428007</xdr:colOff>
      <xdr:row>67</xdr:row>
      <xdr:rowOff>115044</xdr:rowOff>
    </xdr:from>
    <xdr:to>
      <xdr:col>2</xdr:col>
      <xdr:colOff>6968712</xdr:colOff>
      <xdr:row>67</xdr:row>
      <xdr:rowOff>985892</xdr:rowOff>
    </xdr:to>
    <xdr:pic>
      <xdr:nvPicPr>
        <xdr:cNvPr id="1269" name="Picture 24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1034143" y="71846953"/>
          <a:ext cx="7597114" cy="87084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231321</xdr:colOff>
      <xdr:row>212</xdr:row>
      <xdr:rowOff>190499</xdr:rowOff>
    </xdr:from>
    <xdr:to>
      <xdr:col>4</xdr:col>
      <xdr:colOff>785777</xdr:colOff>
      <xdr:row>212</xdr:row>
      <xdr:rowOff>5007429</xdr:rowOff>
    </xdr:to>
    <xdr:pic>
      <xdr:nvPicPr>
        <xdr:cNvPr id="1271" name="Picture 247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843642" y="235294713"/>
          <a:ext cx="13149619" cy="481693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326571</xdr:colOff>
      <xdr:row>47</xdr:row>
      <xdr:rowOff>108857</xdr:rowOff>
    </xdr:from>
    <xdr:to>
      <xdr:col>2</xdr:col>
      <xdr:colOff>8012566</xdr:colOff>
      <xdr:row>47</xdr:row>
      <xdr:rowOff>4997903</xdr:rowOff>
    </xdr:to>
    <xdr:pic>
      <xdr:nvPicPr>
        <xdr:cNvPr id="1275" name="Picture 251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938892" y="37242750"/>
          <a:ext cx="8743950" cy="4889046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163287</xdr:colOff>
      <xdr:row>35</xdr:row>
      <xdr:rowOff>122464</xdr:rowOff>
    </xdr:from>
    <xdr:to>
      <xdr:col>2</xdr:col>
      <xdr:colOff>8234159</xdr:colOff>
      <xdr:row>35</xdr:row>
      <xdr:rowOff>2136321</xdr:rowOff>
    </xdr:to>
    <xdr:pic>
      <xdr:nvPicPr>
        <xdr:cNvPr id="1276" name="Picture 252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775608" y="27173464"/>
          <a:ext cx="9128827" cy="2013857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190501</xdr:colOff>
      <xdr:row>23</xdr:row>
      <xdr:rowOff>180294</xdr:rowOff>
    </xdr:from>
    <xdr:to>
      <xdr:col>4</xdr:col>
      <xdr:colOff>426873</xdr:colOff>
      <xdr:row>25</xdr:row>
      <xdr:rowOff>3602492</xdr:rowOff>
    </xdr:to>
    <xdr:pic>
      <xdr:nvPicPr>
        <xdr:cNvPr id="1279" name="Picture 255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809626" y="16777607"/>
          <a:ext cx="12809372" cy="723219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163286</xdr:colOff>
      <xdr:row>219</xdr:row>
      <xdr:rowOff>136072</xdr:rowOff>
    </xdr:from>
    <xdr:to>
      <xdr:col>4</xdr:col>
      <xdr:colOff>767052</xdr:colOff>
      <xdr:row>219</xdr:row>
      <xdr:rowOff>4712155</xdr:rowOff>
    </xdr:to>
    <xdr:pic>
      <xdr:nvPicPr>
        <xdr:cNvPr id="1278" name="Picture 254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775607" y="244493143"/>
          <a:ext cx="13198929" cy="4576083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7</xdr:col>
      <xdr:colOff>785194</xdr:colOff>
      <xdr:row>219</xdr:row>
      <xdr:rowOff>857252</xdr:rowOff>
    </xdr:from>
    <xdr:to>
      <xdr:col>13</xdr:col>
      <xdr:colOff>1017442</xdr:colOff>
      <xdr:row>222</xdr:row>
      <xdr:rowOff>1320642</xdr:rowOff>
    </xdr:to>
    <xdr:pic>
      <xdr:nvPicPr>
        <xdr:cNvPr id="1281" name="Picture 257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19930444" y="255531940"/>
          <a:ext cx="12590936" cy="805957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174173</xdr:colOff>
      <xdr:row>223</xdr:row>
      <xdr:rowOff>1988623</xdr:rowOff>
    </xdr:from>
    <xdr:to>
      <xdr:col>3</xdr:col>
      <xdr:colOff>859417</xdr:colOff>
      <xdr:row>223</xdr:row>
      <xdr:rowOff>2702998</xdr:rowOff>
    </xdr:to>
    <xdr:pic>
      <xdr:nvPicPr>
        <xdr:cNvPr id="1280" name="Picture 256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783773" y="287719573"/>
          <a:ext cx="10934144" cy="714375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209549</xdr:colOff>
      <xdr:row>223</xdr:row>
      <xdr:rowOff>2880014</xdr:rowOff>
    </xdr:from>
    <xdr:to>
      <xdr:col>4</xdr:col>
      <xdr:colOff>481292</xdr:colOff>
      <xdr:row>224</xdr:row>
      <xdr:rowOff>4663783</xdr:rowOff>
    </xdr:to>
    <xdr:pic>
      <xdr:nvPicPr>
        <xdr:cNvPr id="1282" name="Picture 258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819149" y="288610964"/>
          <a:ext cx="12863793" cy="6984421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275647</xdr:colOff>
      <xdr:row>245</xdr:row>
      <xdr:rowOff>1275771</xdr:rowOff>
    </xdr:from>
    <xdr:to>
      <xdr:col>3</xdr:col>
      <xdr:colOff>1347210</xdr:colOff>
      <xdr:row>247</xdr:row>
      <xdr:rowOff>3951297</xdr:rowOff>
    </xdr:to>
    <xdr:pic>
      <xdr:nvPicPr>
        <xdr:cNvPr id="1292" name="Picture 268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894772" y="295122021"/>
          <a:ext cx="11310938" cy="9557341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4</xdr:col>
      <xdr:colOff>604695</xdr:colOff>
      <xdr:row>246</xdr:row>
      <xdr:rowOff>2540721</xdr:rowOff>
    </xdr:from>
    <xdr:to>
      <xdr:col>6</xdr:col>
      <xdr:colOff>1907122</xdr:colOff>
      <xdr:row>247</xdr:row>
      <xdr:rowOff>3929782</xdr:rowOff>
    </xdr:to>
    <xdr:pic>
      <xdr:nvPicPr>
        <xdr:cNvPr id="1293" name="Picture 269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12653820" y="299768346"/>
          <a:ext cx="5850615" cy="488950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4</xdr:col>
      <xdr:colOff>531091</xdr:colOff>
      <xdr:row>245</xdr:row>
      <xdr:rowOff>1352985</xdr:rowOff>
    </xdr:from>
    <xdr:to>
      <xdr:col>6</xdr:col>
      <xdr:colOff>3913187</xdr:colOff>
      <xdr:row>246</xdr:row>
      <xdr:rowOff>2138961</xdr:rowOff>
    </xdr:to>
    <xdr:pic>
      <xdr:nvPicPr>
        <xdr:cNvPr id="1294" name="Picture 270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12580216" y="295199235"/>
          <a:ext cx="7930284" cy="4167352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13</xdr:col>
      <xdr:colOff>1771505</xdr:colOff>
      <xdr:row>219</xdr:row>
      <xdr:rowOff>956832</xdr:rowOff>
    </xdr:from>
    <xdr:to>
      <xdr:col>22</xdr:col>
      <xdr:colOff>511752</xdr:colOff>
      <xdr:row>222</xdr:row>
      <xdr:rowOff>791444</xdr:rowOff>
    </xdr:to>
    <xdr:pic>
      <xdr:nvPicPr>
        <xdr:cNvPr id="1295" name="Picture 271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33275443" y="255631520"/>
          <a:ext cx="8360497" cy="7430801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155862</xdr:colOff>
      <xdr:row>223</xdr:row>
      <xdr:rowOff>277090</xdr:rowOff>
    </xdr:from>
    <xdr:to>
      <xdr:col>4</xdr:col>
      <xdr:colOff>361950</xdr:colOff>
      <xdr:row>223</xdr:row>
      <xdr:rowOff>1808113</xdr:rowOff>
    </xdr:to>
    <xdr:pic>
      <xdr:nvPicPr>
        <xdr:cNvPr id="1301" name="Picture 277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765462" y="286008040"/>
          <a:ext cx="12798138" cy="1531023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5</xdr:col>
      <xdr:colOff>2922444</xdr:colOff>
      <xdr:row>133</xdr:row>
      <xdr:rowOff>478414</xdr:rowOff>
    </xdr:from>
    <xdr:to>
      <xdr:col>7</xdr:col>
      <xdr:colOff>5751369</xdr:colOff>
      <xdr:row>137</xdr:row>
      <xdr:rowOff>422995</xdr:rowOff>
    </xdr:to>
    <xdr:pic>
      <xdr:nvPicPr>
        <xdr:cNvPr id="1315" name="Picture 291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16032308" y="189281232"/>
          <a:ext cx="10829925" cy="7148946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225135</xdr:colOff>
      <xdr:row>114</xdr:row>
      <xdr:rowOff>3688771</xdr:rowOff>
    </xdr:from>
    <xdr:to>
      <xdr:col>5</xdr:col>
      <xdr:colOff>435551</xdr:colOff>
      <xdr:row>115</xdr:row>
      <xdr:rowOff>3636816</xdr:rowOff>
    </xdr:to>
    <xdr:pic>
      <xdr:nvPicPr>
        <xdr:cNvPr id="1325" name="Picture 301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831271" y="131825998"/>
          <a:ext cx="14047644" cy="514350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242454</xdr:colOff>
      <xdr:row>182</xdr:row>
      <xdr:rowOff>103909</xdr:rowOff>
    </xdr:from>
    <xdr:to>
      <xdr:col>5</xdr:col>
      <xdr:colOff>529070</xdr:colOff>
      <xdr:row>182</xdr:row>
      <xdr:rowOff>4533034</xdr:rowOff>
    </xdr:to>
    <xdr:pic>
      <xdr:nvPicPr>
        <xdr:cNvPr id="1326" name="Picture 302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848590" y="213204136"/>
          <a:ext cx="14123844" cy="4429125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311728</xdr:colOff>
      <xdr:row>198</xdr:row>
      <xdr:rowOff>190500</xdr:rowOff>
    </xdr:from>
    <xdr:to>
      <xdr:col>5</xdr:col>
      <xdr:colOff>179244</xdr:colOff>
      <xdr:row>198</xdr:row>
      <xdr:rowOff>4105275</xdr:rowOff>
    </xdr:to>
    <xdr:pic>
      <xdr:nvPicPr>
        <xdr:cNvPr id="1327" name="Picture 303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917864" y="234661364"/>
          <a:ext cx="13704744" cy="3914775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6</xdr:col>
      <xdr:colOff>2132302</xdr:colOff>
      <xdr:row>137</xdr:row>
      <xdr:rowOff>705716</xdr:rowOff>
    </xdr:from>
    <xdr:to>
      <xdr:col>7</xdr:col>
      <xdr:colOff>6811674</xdr:colOff>
      <xdr:row>143</xdr:row>
      <xdr:rowOff>1394982</xdr:rowOff>
    </xdr:to>
    <xdr:pic>
      <xdr:nvPicPr>
        <xdr:cNvPr id="1330" name="Picture 306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18549938" y="196712898"/>
          <a:ext cx="9372600" cy="4603175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357186</xdr:colOff>
      <xdr:row>319</xdr:row>
      <xdr:rowOff>119063</xdr:rowOff>
    </xdr:from>
    <xdr:to>
      <xdr:col>3</xdr:col>
      <xdr:colOff>619124</xdr:colOff>
      <xdr:row>321</xdr:row>
      <xdr:rowOff>2710489</xdr:rowOff>
    </xdr:to>
    <xdr:pic>
      <xdr:nvPicPr>
        <xdr:cNvPr id="1332" name="Picture 308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976311" y="335065688"/>
          <a:ext cx="10501313" cy="8092114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277092</xdr:colOff>
      <xdr:row>334</xdr:row>
      <xdr:rowOff>86588</xdr:rowOff>
    </xdr:from>
    <xdr:to>
      <xdr:col>2</xdr:col>
      <xdr:colOff>6979229</xdr:colOff>
      <xdr:row>337</xdr:row>
      <xdr:rowOff>3065324</xdr:rowOff>
    </xdr:to>
    <xdr:pic>
      <xdr:nvPicPr>
        <xdr:cNvPr id="7" name="Picture 306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883228" y="344960861"/>
          <a:ext cx="7758546" cy="10494823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259773</xdr:colOff>
      <xdr:row>351</xdr:row>
      <xdr:rowOff>103909</xdr:rowOff>
    </xdr:from>
    <xdr:to>
      <xdr:col>2</xdr:col>
      <xdr:colOff>6754092</xdr:colOff>
      <xdr:row>351</xdr:row>
      <xdr:rowOff>4973551</xdr:rowOff>
    </xdr:to>
    <xdr:pic>
      <xdr:nvPicPr>
        <xdr:cNvPr id="1331" name="Picture 307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865909" y="357360682"/>
          <a:ext cx="7550728" cy="4869642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363681</xdr:colOff>
      <xdr:row>362</xdr:row>
      <xdr:rowOff>103908</xdr:rowOff>
    </xdr:from>
    <xdr:to>
      <xdr:col>2</xdr:col>
      <xdr:colOff>3896591</xdr:colOff>
      <xdr:row>362</xdr:row>
      <xdr:rowOff>4219357</xdr:rowOff>
    </xdr:to>
    <xdr:pic>
      <xdr:nvPicPr>
        <xdr:cNvPr id="9" name="Picture 308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969817" y="491074363"/>
          <a:ext cx="4589319" cy="411544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3</xdr:col>
      <xdr:colOff>318220</xdr:colOff>
      <xdr:row>424</xdr:row>
      <xdr:rowOff>229896</xdr:rowOff>
    </xdr:from>
    <xdr:to>
      <xdr:col>7</xdr:col>
      <xdr:colOff>222971</xdr:colOff>
      <xdr:row>426</xdr:row>
      <xdr:rowOff>1850504</xdr:rowOff>
    </xdr:to>
    <xdr:pic>
      <xdr:nvPicPr>
        <xdr:cNvPr id="1335" name="Picture 311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11176720" y="578570578"/>
          <a:ext cx="11490615" cy="790710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441613</xdr:colOff>
      <xdr:row>410</xdr:row>
      <xdr:rowOff>238126</xdr:rowOff>
    </xdr:from>
    <xdr:to>
      <xdr:col>2</xdr:col>
      <xdr:colOff>8137813</xdr:colOff>
      <xdr:row>411</xdr:row>
      <xdr:rowOff>3457575</xdr:rowOff>
    </xdr:to>
    <xdr:pic>
      <xdr:nvPicPr>
        <xdr:cNvPr id="1336" name="Picture 312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1047749" y="503279353"/>
          <a:ext cx="8756939" cy="6336723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247650</xdr:colOff>
      <xdr:row>436</xdr:row>
      <xdr:rowOff>152400</xdr:rowOff>
    </xdr:from>
    <xdr:to>
      <xdr:col>3</xdr:col>
      <xdr:colOff>990600</xdr:colOff>
      <xdr:row>437</xdr:row>
      <xdr:rowOff>3428285</xdr:rowOff>
    </xdr:to>
    <xdr:pic>
      <xdr:nvPicPr>
        <xdr:cNvPr id="1338" name="Picture 314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857250" y="397935450"/>
          <a:ext cx="10991850" cy="6742982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190500</xdr:colOff>
      <xdr:row>283</xdr:row>
      <xdr:rowOff>2095502</xdr:rowOff>
    </xdr:from>
    <xdr:to>
      <xdr:col>2</xdr:col>
      <xdr:colOff>6677025</xdr:colOff>
      <xdr:row>285</xdr:row>
      <xdr:rowOff>2209803</xdr:rowOff>
    </xdr:to>
    <xdr:pic>
      <xdr:nvPicPr>
        <xdr:cNvPr id="1329" name="Picture 305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809625" y="349853252"/>
          <a:ext cx="7534275" cy="456723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238125</xdr:colOff>
      <xdr:row>282</xdr:row>
      <xdr:rowOff>119062</xdr:rowOff>
    </xdr:from>
    <xdr:to>
      <xdr:col>2</xdr:col>
      <xdr:colOff>8162925</xdr:colOff>
      <xdr:row>283</xdr:row>
      <xdr:rowOff>709612</xdr:rowOff>
    </xdr:to>
    <xdr:pic>
      <xdr:nvPicPr>
        <xdr:cNvPr id="10" name="Picture 306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857250" y="344066812"/>
          <a:ext cx="8972550" cy="316230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277092</xdr:colOff>
      <xdr:row>261</xdr:row>
      <xdr:rowOff>132051</xdr:rowOff>
    </xdr:from>
    <xdr:to>
      <xdr:col>2</xdr:col>
      <xdr:colOff>8182841</xdr:colOff>
      <xdr:row>265</xdr:row>
      <xdr:rowOff>36555</xdr:rowOff>
    </xdr:to>
    <xdr:pic>
      <xdr:nvPicPr>
        <xdr:cNvPr id="11" name="Picture 307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896217" y="332578364"/>
          <a:ext cx="8953499" cy="952253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190498</xdr:colOff>
      <xdr:row>269</xdr:row>
      <xdr:rowOff>166688</xdr:rowOff>
    </xdr:from>
    <xdr:to>
      <xdr:col>2</xdr:col>
      <xdr:colOff>8024810</xdr:colOff>
      <xdr:row>275</xdr:row>
      <xdr:rowOff>2506133</xdr:rowOff>
    </xdr:to>
    <xdr:pic>
      <xdr:nvPicPr>
        <xdr:cNvPr id="12" name="Picture 308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809623" y="337113563"/>
          <a:ext cx="8882062" cy="6173257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5</xdr:col>
      <xdr:colOff>357189</xdr:colOff>
      <xdr:row>272</xdr:row>
      <xdr:rowOff>976313</xdr:rowOff>
    </xdr:from>
    <xdr:to>
      <xdr:col>8</xdr:col>
      <xdr:colOff>229009</xdr:colOff>
      <xdr:row>275</xdr:row>
      <xdr:rowOff>1905000</xdr:rowOff>
    </xdr:to>
    <xdr:pic>
      <xdr:nvPicPr>
        <xdr:cNvPr id="13" name="Picture 306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13644564" y="336303938"/>
          <a:ext cx="15278508" cy="3976687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500061</xdr:colOff>
      <xdr:row>290</xdr:row>
      <xdr:rowOff>142876</xdr:rowOff>
    </xdr:from>
    <xdr:to>
      <xdr:col>3</xdr:col>
      <xdr:colOff>666749</xdr:colOff>
      <xdr:row>291</xdr:row>
      <xdr:rowOff>1775335</xdr:rowOff>
    </xdr:to>
    <xdr:pic>
      <xdr:nvPicPr>
        <xdr:cNvPr id="1334" name="Picture 310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1119186" y="355544439"/>
          <a:ext cx="10406063" cy="4918583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214314</xdr:colOff>
      <xdr:row>283</xdr:row>
      <xdr:rowOff>904874</xdr:rowOff>
    </xdr:from>
    <xdr:to>
      <xdr:col>3</xdr:col>
      <xdr:colOff>200027</xdr:colOff>
      <xdr:row>283</xdr:row>
      <xdr:rowOff>1914524</xdr:rowOff>
    </xdr:to>
    <xdr:pic>
      <xdr:nvPicPr>
        <xdr:cNvPr id="14" name="Picture 312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833439" y="348662624"/>
          <a:ext cx="10225088" cy="100965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175347</xdr:colOff>
      <xdr:row>297</xdr:row>
      <xdr:rowOff>114736</xdr:rowOff>
    </xdr:from>
    <xdr:to>
      <xdr:col>3</xdr:col>
      <xdr:colOff>1658215</xdr:colOff>
      <xdr:row>298</xdr:row>
      <xdr:rowOff>306811</xdr:rowOff>
    </xdr:to>
    <xdr:pic>
      <xdr:nvPicPr>
        <xdr:cNvPr id="1337" name="Picture 313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781483" y="362584281"/>
          <a:ext cx="11739562" cy="3724986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207819</xdr:colOff>
      <xdr:row>298</xdr:row>
      <xdr:rowOff>467590</xdr:rowOff>
    </xdr:from>
    <xdr:to>
      <xdr:col>3</xdr:col>
      <xdr:colOff>1658216</xdr:colOff>
      <xdr:row>299</xdr:row>
      <xdr:rowOff>1016336</xdr:rowOff>
    </xdr:to>
    <xdr:pic>
      <xdr:nvPicPr>
        <xdr:cNvPr id="16" name="Picture 314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813955" y="366470045"/>
          <a:ext cx="11707091" cy="2055427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225136</xdr:colOff>
      <xdr:row>299</xdr:row>
      <xdr:rowOff>1160318</xdr:rowOff>
    </xdr:from>
    <xdr:to>
      <xdr:col>2</xdr:col>
      <xdr:colOff>7193107</xdr:colOff>
      <xdr:row>299</xdr:row>
      <xdr:rowOff>2455718</xdr:rowOff>
    </xdr:to>
    <xdr:pic>
      <xdr:nvPicPr>
        <xdr:cNvPr id="1339" name="Picture 315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831272" y="368669454"/>
          <a:ext cx="8024380" cy="129540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261937</xdr:colOff>
      <xdr:row>357</xdr:row>
      <xdr:rowOff>190500</xdr:rowOff>
    </xdr:from>
    <xdr:to>
      <xdr:col>3</xdr:col>
      <xdr:colOff>71437</xdr:colOff>
      <xdr:row>358</xdr:row>
      <xdr:rowOff>3583731</xdr:rowOff>
    </xdr:to>
    <xdr:pic>
      <xdr:nvPicPr>
        <xdr:cNvPr id="1372" name="Picture 348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881062" y="440007375"/>
          <a:ext cx="10048875" cy="5631604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176895</xdr:colOff>
      <xdr:row>397</xdr:row>
      <xdr:rowOff>146278</xdr:rowOff>
    </xdr:from>
    <xdr:to>
      <xdr:col>3</xdr:col>
      <xdr:colOff>2087667</xdr:colOff>
      <xdr:row>400</xdr:row>
      <xdr:rowOff>1956955</xdr:rowOff>
    </xdr:to>
    <xdr:pic>
      <xdr:nvPicPr>
        <xdr:cNvPr id="72" name="Picture 373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783031" y="535087596"/>
          <a:ext cx="12167466" cy="1076417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225136</xdr:colOff>
      <xdr:row>404</xdr:row>
      <xdr:rowOff>232064</xdr:rowOff>
    </xdr:from>
    <xdr:to>
      <xdr:col>3</xdr:col>
      <xdr:colOff>1625998</xdr:colOff>
      <xdr:row>406</xdr:row>
      <xdr:rowOff>1444336</xdr:rowOff>
    </xdr:to>
    <xdr:pic>
      <xdr:nvPicPr>
        <xdr:cNvPr id="1401" name="Picture 377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831272" y="504953155"/>
          <a:ext cx="11657556" cy="592281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138547</xdr:colOff>
      <xdr:row>390</xdr:row>
      <xdr:rowOff>190502</xdr:rowOff>
    </xdr:from>
    <xdr:to>
      <xdr:col>5</xdr:col>
      <xdr:colOff>1158588</xdr:colOff>
      <xdr:row>390</xdr:row>
      <xdr:rowOff>2419352</xdr:rowOff>
    </xdr:to>
    <xdr:pic>
      <xdr:nvPicPr>
        <xdr:cNvPr id="1561" name="Picture 537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744683" y="526767138"/>
          <a:ext cx="14857269" cy="222885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326177</xdr:colOff>
      <xdr:row>424</xdr:row>
      <xdr:rowOff>163228</xdr:rowOff>
    </xdr:from>
    <xdr:to>
      <xdr:col>3</xdr:col>
      <xdr:colOff>86369</xdr:colOff>
      <xdr:row>426</xdr:row>
      <xdr:rowOff>1869498</xdr:rowOff>
    </xdr:to>
    <xdr:pic>
      <xdr:nvPicPr>
        <xdr:cNvPr id="74" name="Рисунок 73" descr="G:\МГКЭИТ\МДК 01.02\IMG Metody\11.1.1.png"/>
        <xdr:cNvPicPr/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 bwMode="auto">
        <a:xfrm>
          <a:off x="932313" y="582192683"/>
          <a:ext cx="10012556" cy="7992770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178129</xdr:colOff>
      <xdr:row>418</xdr:row>
      <xdr:rowOff>163903</xdr:rowOff>
    </xdr:from>
    <xdr:to>
      <xdr:col>4</xdr:col>
      <xdr:colOff>705370</xdr:colOff>
      <xdr:row>421</xdr:row>
      <xdr:rowOff>408832</xdr:rowOff>
    </xdr:to>
    <xdr:pic>
      <xdr:nvPicPr>
        <xdr:cNvPr id="76" name="Picture 247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784265" y="571092403"/>
          <a:ext cx="13117560" cy="4868885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</xdr:col>
      <xdr:colOff>155864</xdr:colOff>
      <xdr:row>442</xdr:row>
      <xdr:rowOff>190499</xdr:rowOff>
    </xdr:from>
    <xdr:to>
      <xdr:col>3</xdr:col>
      <xdr:colOff>579371</xdr:colOff>
      <xdr:row>443</xdr:row>
      <xdr:rowOff>1818408</xdr:rowOff>
    </xdr:to>
    <xdr:pic>
      <xdr:nvPicPr>
        <xdr:cNvPr id="1565" name="Picture 541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 bwMode="auto">
        <a:xfrm>
          <a:off x="1818409" y="603400090"/>
          <a:ext cx="9619462" cy="325581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</xdr:col>
      <xdr:colOff>242455</xdr:colOff>
      <xdr:row>452</xdr:row>
      <xdr:rowOff>155865</xdr:rowOff>
    </xdr:from>
    <xdr:to>
      <xdr:col>3</xdr:col>
      <xdr:colOff>766330</xdr:colOff>
      <xdr:row>455</xdr:row>
      <xdr:rowOff>1183698</xdr:rowOff>
    </xdr:to>
    <xdr:pic>
      <xdr:nvPicPr>
        <xdr:cNvPr id="1569" name="Picture 545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 bwMode="auto">
        <a:xfrm>
          <a:off x="1905000" y="615505501"/>
          <a:ext cx="9719830" cy="5963516"/>
        </a:xfrm>
        <a:prstGeom prst="rect">
          <a:avLst/>
        </a:prstGeom>
        <a:noFill/>
        <a:ln w="1">
          <a:solidFill>
            <a:schemeClr val="tx1"/>
          </a:solidFill>
          <a:miter lim="800000"/>
          <a:headEnd/>
          <a:tailEnd type="none" w="med" len="med"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470191</xdr:colOff>
      <xdr:row>100</xdr:row>
      <xdr:rowOff>132909</xdr:rowOff>
    </xdr:from>
    <xdr:to>
      <xdr:col>24</xdr:col>
      <xdr:colOff>117764</xdr:colOff>
      <xdr:row>128</xdr:row>
      <xdr:rowOff>8283</xdr:rowOff>
    </xdr:to>
    <xdr:pic>
      <xdr:nvPicPr>
        <xdr:cNvPr id="3" name="Picture 29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137691" y="26110182"/>
          <a:ext cx="10558028" cy="714901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199467</xdr:colOff>
      <xdr:row>12</xdr:row>
      <xdr:rowOff>142439</xdr:rowOff>
    </xdr:from>
    <xdr:to>
      <xdr:col>19</xdr:col>
      <xdr:colOff>270640</xdr:colOff>
      <xdr:row>36</xdr:row>
      <xdr:rowOff>151781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18592" y="3285689"/>
          <a:ext cx="14249290" cy="6295842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114735</xdr:colOff>
      <xdr:row>5</xdr:row>
      <xdr:rowOff>136380</xdr:rowOff>
    </xdr:from>
    <xdr:to>
      <xdr:col>41</xdr:col>
      <xdr:colOff>519545</xdr:colOff>
      <xdr:row>26</xdr:row>
      <xdr:rowOff>26193</xdr:rowOff>
    </xdr:to>
    <xdr:pic>
      <xdr:nvPicPr>
        <xdr:cNvPr id="2049" name="Picture 1" descr="статор а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864871" y="1435244"/>
          <a:ext cx="3435492" cy="534504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207386</xdr:colOff>
      <xdr:row>55</xdr:row>
      <xdr:rowOff>151967</xdr:rowOff>
    </xdr:from>
    <xdr:to>
      <xdr:col>41</xdr:col>
      <xdr:colOff>415637</xdr:colOff>
      <xdr:row>76</xdr:row>
      <xdr:rowOff>98796</xdr:rowOff>
    </xdr:to>
    <xdr:pic>
      <xdr:nvPicPr>
        <xdr:cNvPr id="2050" name="Picture 2" descr="статор б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957522" y="14439467"/>
          <a:ext cx="3238933" cy="5402056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49</xdr:col>
      <xdr:colOff>192232</xdr:colOff>
      <xdr:row>5</xdr:row>
      <xdr:rowOff>138982</xdr:rowOff>
    </xdr:from>
    <xdr:to>
      <xdr:col>54</xdr:col>
      <xdr:colOff>359322</xdr:colOff>
      <xdr:row>25</xdr:row>
      <xdr:rowOff>138982</xdr:rowOff>
    </xdr:to>
    <xdr:pic>
      <xdr:nvPicPr>
        <xdr:cNvPr id="2052" name="Picture 4" descr="статор в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9075545" y="1448670"/>
          <a:ext cx="3262715" cy="5238750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49</xdr:col>
      <xdr:colOff>133782</xdr:colOff>
      <xdr:row>55</xdr:row>
      <xdr:rowOff>173614</xdr:rowOff>
    </xdr:from>
    <xdr:to>
      <xdr:col>54</xdr:col>
      <xdr:colOff>376671</xdr:colOff>
      <xdr:row>76</xdr:row>
      <xdr:rowOff>154239</xdr:rowOff>
    </xdr:to>
    <xdr:pic>
      <xdr:nvPicPr>
        <xdr:cNvPr id="2053" name="Picture 5" descr="статор г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9017095" y="14580177"/>
          <a:ext cx="3338514" cy="5481312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62</xdr:col>
      <xdr:colOff>88322</xdr:colOff>
      <xdr:row>5</xdr:row>
      <xdr:rowOff>128154</xdr:rowOff>
    </xdr:from>
    <xdr:to>
      <xdr:col>67</xdr:col>
      <xdr:colOff>484909</xdr:colOff>
      <xdr:row>26</xdr:row>
      <xdr:rowOff>155864</xdr:rowOff>
    </xdr:to>
    <xdr:pic>
      <xdr:nvPicPr>
        <xdr:cNvPr id="2057" name="Picture 9" descr="статор д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7433731" y="1427018"/>
          <a:ext cx="3427269" cy="5482937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62</xdr:col>
      <xdr:colOff>432090</xdr:colOff>
      <xdr:row>30</xdr:row>
      <xdr:rowOff>139841</xdr:rowOff>
    </xdr:from>
    <xdr:to>
      <xdr:col>67</xdr:col>
      <xdr:colOff>348373</xdr:colOff>
      <xdr:row>50</xdr:row>
      <xdr:rowOff>203052</xdr:rowOff>
    </xdr:to>
    <xdr:pic>
      <xdr:nvPicPr>
        <xdr:cNvPr id="2059" name="Picture 11" descr="статор е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28268903" y="7997966"/>
          <a:ext cx="3011908" cy="5301961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62</xdr:col>
      <xdr:colOff>248952</xdr:colOff>
      <xdr:row>55</xdr:row>
      <xdr:rowOff>133783</xdr:rowOff>
    </xdr:from>
    <xdr:to>
      <xdr:col>67</xdr:col>
      <xdr:colOff>395120</xdr:colOff>
      <xdr:row>75</xdr:row>
      <xdr:rowOff>109969</xdr:rowOff>
    </xdr:to>
    <xdr:pic>
      <xdr:nvPicPr>
        <xdr:cNvPr id="2060" name="Picture 12" descr="статор ж)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28085765" y="14540346"/>
          <a:ext cx="3241793" cy="5214936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76</xdr:col>
      <xdr:colOff>332943</xdr:colOff>
      <xdr:row>6</xdr:row>
      <xdr:rowOff>242891</xdr:rowOff>
    </xdr:from>
    <xdr:to>
      <xdr:col>80</xdr:col>
      <xdr:colOff>593221</xdr:colOff>
      <xdr:row>26</xdr:row>
      <xdr:rowOff>236396</xdr:rowOff>
    </xdr:to>
    <xdr:pic>
      <xdr:nvPicPr>
        <xdr:cNvPr id="2062" name="Picture 14" descr="статор з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38075756" y="1814516"/>
          <a:ext cx="2736778" cy="5232255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76</xdr:col>
      <xdr:colOff>514782</xdr:colOff>
      <xdr:row>30</xdr:row>
      <xdr:rowOff>153702</xdr:rowOff>
    </xdr:from>
    <xdr:to>
      <xdr:col>81</xdr:col>
      <xdr:colOff>131268</xdr:colOff>
      <xdr:row>50</xdr:row>
      <xdr:rowOff>181842</xdr:rowOff>
    </xdr:to>
    <xdr:pic>
      <xdr:nvPicPr>
        <xdr:cNvPr id="2064" name="Picture 16" descr="статор и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38257595" y="8273765"/>
          <a:ext cx="2712111" cy="5266890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</xdr:col>
      <xdr:colOff>189202</xdr:colOff>
      <xdr:row>38</xdr:row>
      <xdr:rowOff>12555</xdr:rowOff>
    </xdr:from>
    <xdr:to>
      <xdr:col>26</xdr:col>
      <xdr:colOff>84088</xdr:colOff>
      <xdr:row>72</xdr:row>
      <xdr:rowOff>208529</xdr:rowOff>
    </xdr:to>
    <xdr:pic>
      <xdr:nvPicPr>
        <xdr:cNvPr id="79" name="Picture 276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808327" y="9966180"/>
          <a:ext cx="18406876" cy="910184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86596</xdr:colOff>
      <xdr:row>30</xdr:row>
      <xdr:rowOff>225137</xdr:rowOff>
    </xdr:from>
    <xdr:to>
      <xdr:col>41</xdr:col>
      <xdr:colOff>487205</xdr:colOff>
      <xdr:row>51</xdr:row>
      <xdr:rowOff>69272</xdr:rowOff>
    </xdr:to>
    <xdr:pic>
      <xdr:nvPicPr>
        <xdr:cNvPr id="2068" name="Picture 20" descr="статор а) однослойная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836732" y="8018319"/>
          <a:ext cx="3431291" cy="5299362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86596</xdr:colOff>
      <xdr:row>30</xdr:row>
      <xdr:rowOff>225137</xdr:rowOff>
    </xdr:from>
    <xdr:to>
      <xdr:col>41</xdr:col>
      <xdr:colOff>487205</xdr:colOff>
      <xdr:row>51</xdr:row>
      <xdr:rowOff>69272</xdr:rowOff>
    </xdr:to>
    <xdr:pic>
      <xdr:nvPicPr>
        <xdr:cNvPr id="98" name="Picture 20" descr="статор а) однослойная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836732" y="8018319"/>
          <a:ext cx="3431291" cy="5299362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114735</xdr:colOff>
      <xdr:row>5</xdr:row>
      <xdr:rowOff>136380</xdr:rowOff>
    </xdr:from>
    <xdr:to>
      <xdr:col>41</xdr:col>
      <xdr:colOff>519545</xdr:colOff>
      <xdr:row>26</xdr:row>
      <xdr:rowOff>26193</xdr:rowOff>
    </xdr:to>
    <xdr:pic>
      <xdr:nvPicPr>
        <xdr:cNvPr id="99" name="Picture 1" descr="статор а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864871" y="1435244"/>
          <a:ext cx="3435492" cy="534504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114735</xdr:colOff>
      <xdr:row>5</xdr:row>
      <xdr:rowOff>136380</xdr:rowOff>
    </xdr:from>
    <xdr:to>
      <xdr:col>41</xdr:col>
      <xdr:colOff>519545</xdr:colOff>
      <xdr:row>26</xdr:row>
      <xdr:rowOff>26193</xdr:rowOff>
    </xdr:to>
    <xdr:pic>
      <xdr:nvPicPr>
        <xdr:cNvPr id="100" name="Picture 1" descr="статор а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864871" y="1435244"/>
          <a:ext cx="3435492" cy="534504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114735</xdr:colOff>
      <xdr:row>5</xdr:row>
      <xdr:rowOff>136380</xdr:rowOff>
    </xdr:from>
    <xdr:to>
      <xdr:col>41</xdr:col>
      <xdr:colOff>519545</xdr:colOff>
      <xdr:row>26</xdr:row>
      <xdr:rowOff>26193</xdr:rowOff>
    </xdr:to>
    <xdr:pic>
      <xdr:nvPicPr>
        <xdr:cNvPr id="101" name="Picture 1" descr="статор а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864871" y="1435244"/>
          <a:ext cx="3435492" cy="5345040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32</xdr:col>
      <xdr:colOff>445003</xdr:colOff>
      <xdr:row>17</xdr:row>
      <xdr:rowOff>86590</xdr:rowOff>
    </xdr:from>
    <xdr:to>
      <xdr:col>34</xdr:col>
      <xdr:colOff>87530</xdr:colOff>
      <xdr:row>22</xdr:row>
      <xdr:rowOff>34638</xdr:rowOff>
    </xdr:to>
    <xdr:sp macro="" textlink="">
      <xdr:nvSpPr>
        <xdr:cNvPr id="116" name="Стрелка вправо 115"/>
        <xdr:cNvSpPr/>
      </xdr:nvSpPr>
      <xdr:spPr>
        <a:xfrm>
          <a:off x="6207628" y="4539528"/>
          <a:ext cx="2547652" cy="1257735"/>
        </a:xfrm>
        <a:prstGeom prst="rightArrow">
          <a:avLst/>
        </a:prstGeom>
        <a:solidFill>
          <a:srgbClr val="92D050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32</xdr:col>
      <xdr:colOff>621216</xdr:colOff>
      <xdr:row>41</xdr:row>
      <xdr:rowOff>215178</xdr:rowOff>
    </xdr:from>
    <xdr:to>
      <xdr:col>34</xdr:col>
      <xdr:colOff>263743</xdr:colOff>
      <xdr:row>46</xdr:row>
      <xdr:rowOff>163226</xdr:rowOff>
    </xdr:to>
    <xdr:sp macro="" textlink="">
      <xdr:nvSpPr>
        <xdr:cNvPr id="117" name="Стрелка вправо 116"/>
        <xdr:cNvSpPr/>
      </xdr:nvSpPr>
      <xdr:spPr>
        <a:xfrm>
          <a:off x="6383841" y="10954616"/>
          <a:ext cx="2547652" cy="1257735"/>
        </a:xfrm>
        <a:prstGeom prst="rightArrow">
          <a:avLst/>
        </a:prstGeom>
        <a:solidFill>
          <a:srgbClr val="92D050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32</xdr:col>
      <xdr:colOff>678366</xdr:colOff>
      <xdr:row>67</xdr:row>
      <xdr:rowOff>10390</xdr:rowOff>
    </xdr:from>
    <xdr:to>
      <xdr:col>34</xdr:col>
      <xdr:colOff>320893</xdr:colOff>
      <xdr:row>71</xdr:row>
      <xdr:rowOff>220375</xdr:rowOff>
    </xdr:to>
    <xdr:sp macro="" textlink="">
      <xdr:nvSpPr>
        <xdr:cNvPr id="119" name="Стрелка вправо 118"/>
        <xdr:cNvSpPr/>
      </xdr:nvSpPr>
      <xdr:spPr>
        <a:xfrm>
          <a:off x="6440991" y="17560203"/>
          <a:ext cx="2547652" cy="1257735"/>
        </a:xfrm>
        <a:prstGeom prst="rightArrow">
          <a:avLst/>
        </a:prstGeom>
        <a:solidFill>
          <a:srgbClr val="92D050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49</xdr:col>
      <xdr:colOff>142874</xdr:colOff>
      <xdr:row>30</xdr:row>
      <xdr:rowOff>142875</xdr:rowOff>
    </xdr:from>
    <xdr:to>
      <xdr:col>54</xdr:col>
      <xdr:colOff>462608</xdr:colOff>
      <xdr:row>51</xdr:row>
      <xdr:rowOff>95250</xdr:rowOff>
    </xdr:to>
    <xdr:pic>
      <xdr:nvPicPr>
        <xdr:cNvPr id="2070" name="Picture 22" descr="статор в)однослойная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19026187" y="8001000"/>
          <a:ext cx="3415359" cy="5453063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61</xdr:col>
      <xdr:colOff>604900</xdr:colOff>
      <xdr:row>54</xdr:row>
      <xdr:rowOff>257299</xdr:rowOff>
    </xdr:from>
    <xdr:to>
      <xdr:col>68</xdr:col>
      <xdr:colOff>0</xdr:colOff>
      <xdr:row>77</xdr:row>
      <xdr:rowOff>17318</xdr:rowOff>
    </xdr:to>
    <xdr:sp macro="" textlink="">
      <xdr:nvSpPr>
        <xdr:cNvPr id="55" name="Прямоугольник 54"/>
        <xdr:cNvSpPr/>
      </xdr:nvSpPr>
      <xdr:spPr>
        <a:xfrm>
          <a:off x="41891445" y="14285026"/>
          <a:ext cx="3638055" cy="5734792"/>
        </a:xfrm>
        <a:prstGeom prst="rect">
          <a:avLst/>
        </a:prstGeom>
        <a:solidFill>
          <a:srgbClr val="92D05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36</xdr:col>
      <xdr:colOff>12060</xdr:colOff>
      <xdr:row>4</xdr:row>
      <xdr:rowOff>242454</xdr:rowOff>
    </xdr:from>
    <xdr:to>
      <xdr:col>42</xdr:col>
      <xdr:colOff>26285</xdr:colOff>
      <xdr:row>27</xdr:row>
      <xdr:rowOff>5875</xdr:rowOff>
    </xdr:to>
    <xdr:sp macro="" textlink="">
      <xdr:nvSpPr>
        <xdr:cNvPr id="56" name="Прямоугольник 55"/>
        <xdr:cNvSpPr/>
      </xdr:nvSpPr>
      <xdr:spPr>
        <a:xfrm>
          <a:off x="24518524" y="1276597"/>
          <a:ext cx="3688154" cy="5709742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35</xdr:col>
      <xdr:colOff>586282</xdr:colOff>
      <xdr:row>30</xdr:row>
      <xdr:rowOff>3648</xdr:rowOff>
    </xdr:from>
    <xdr:to>
      <xdr:col>41</xdr:col>
      <xdr:colOff>600508</xdr:colOff>
      <xdr:row>52</xdr:row>
      <xdr:rowOff>25605</xdr:rowOff>
    </xdr:to>
    <xdr:sp macro="" textlink="">
      <xdr:nvSpPr>
        <xdr:cNvPr id="57" name="Прямоугольник 56"/>
        <xdr:cNvSpPr/>
      </xdr:nvSpPr>
      <xdr:spPr>
        <a:xfrm>
          <a:off x="24480425" y="7759719"/>
          <a:ext cx="3688154" cy="5709743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48</xdr:col>
      <xdr:colOff>610773</xdr:colOff>
      <xdr:row>4</xdr:row>
      <xdr:rowOff>222043</xdr:rowOff>
    </xdr:from>
    <xdr:to>
      <xdr:col>55</xdr:col>
      <xdr:colOff>5873</xdr:colOff>
      <xdr:row>26</xdr:row>
      <xdr:rowOff>247402</xdr:rowOff>
    </xdr:to>
    <xdr:sp macro="" textlink="">
      <xdr:nvSpPr>
        <xdr:cNvPr id="59" name="Прямоугольник 58"/>
        <xdr:cNvSpPr/>
      </xdr:nvSpPr>
      <xdr:spPr>
        <a:xfrm>
          <a:off x="33390380" y="1256186"/>
          <a:ext cx="3681350" cy="5713145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48</xdr:col>
      <xdr:colOff>568098</xdr:colOff>
      <xdr:row>29</xdr:row>
      <xdr:rowOff>224518</xdr:rowOff>
    </xdr:from>
    <xdr:to>
      <xdr:col>54</xdr:col>
      <xdr:colOff>582323</xdr:colOff>
      <xdr:row>51</xdr:row>
      <xdr:rowOff>249878</xdr:rowOff>
    </xdr:to>
    <xdr:sp macro="" textlink="">
      <xdr:nvSpPr>
        <xdr:cNvPr id="60" name="Прямоугольник 59"/>
        <xdr:cNvSpPr/>
      </xdr:nvSpPr>
      <xdr:spPr>
        <a:xfrm>
          <a:off x="33347705" y="7722054"/>
          <a:ext cx="3688154" cy="5713145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35</xdr:col>
      <xdr:colOff>571500</xdr:colOff>
      <xdr:row>54</xdr:row>
      <xdr:rowOff>225137</xdr:rowOff>
    </xdr:from>
    <xdr:to>
      <xdr:col>41</xdr:col>
      <xdr:colOff>585725</xdr:colOff>
      <xdr:row>76</xdr:row>
      <xdr:rowOff>248331</xdr:rowOff>
    </xdr:to>
    <xdr:sp macro="" textlink="">
      <xdr:nvSpPr>
        <xdr:cNvPr id="61" name="Прямоугольник 60"/>
        <xdr:cNvSpPr/>
      </xdr:nvSpPr>
      <xdr:spPr>
        <a:xfrm>
          <a:off x="24262773" y="14252864"/>
          <a:ext cx="3651043" cy="5738194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 editAs="oneCell">
    <xdr:from>
      <xdr:col>1</xdr:col>
      <xdr:colOff>153698</xdr:colOff>
      <xdr:row>129</xdr:row>
      <xdr:rowOff>147207</xdr:rowOff>
    </xdr:from>
    <xdr:to>
      <xdr:col>21</xdr:col>
      <xdr:colOff>273661</xdr:colOff>
      <xdr:row>165</xdr:row>
      <xdr:rowOff>82988</xdr:rowOff>
    </xdr:to>
    <xdr:pic>
      <xdr:nvPicPr>
        <xdr:cNvPr id="68" name="Picture 275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759834" y="33657889"/>
          <a:ext cx="15273372" cy="9287599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523876</xdr:colOff>
      <xdr:row>115</xdr:row>
      <xdr:rowOff>142877</xdr:rowOff>
    </xdr:from>
    <xdr:to>
      <xdr:col>41</xdr:col>
      <xdr:colOff>196810</xdr:colOff>
      <xdr:row>136</xdr:row>
      <xdr:rowOff>23814</xdr:rowOff>
    </xdr:to>
    <xdr:pic>
      <xdr:nvPicPr>
        <xdr:cNvPr id="2" name="Picture 1" descr="ротор а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25288876" y="30265690"/>
          <a:ext cx="2768559" cy="5381624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477981</xdr:colOff>
      <xdr:row>140</xdr:row>
      <xdr:rowOff>121229</xdr:rowOff>
    </xdr:from>
    <xdr:to>
      <xdr:col>40</xdr:col>
      <xdr:colOff>311726</xdr:colOff>
      <xdr:row>161</xdr:row>
      <xdr:rowOff>26844</xdr:rowOff>
    </xdr:to>
    <xdr:pic>
      <xdr:nvPicPr>
        <xdr:cNvPr id="4" name="Picture 2" descr="ротор б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24775390" y="36489411"/>
          <a:ext cx="2258291" cy="5360842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36</xdr:col>
      <xdr:colOff>450271</xdr:colOff>
      <xdr:row>165</xdr:row>
      <xdr:rowOff>86590</xdr:rowOff>
    </xdr:from>
    <xdr:to>
      <xdr:col>40</xdr:col>
      <xdr:colOff>198716</xdr:colOff>
      <xdr:row>186</xdr:row>
      <xdr:rowOff>51954</xdr:rowOff>
    </xdr:to>
    <xdr:pic>
      <xdr:nvPicPr>
        <xdr:cNvPr id="5" name="Picture 3" descr="ротор в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24747680" y="42949090"/>
          <a:ext cx="2172991" cy="5420591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49</xdr:col>
      <xdr:colOff>294409</xdr:colOff>
      <xdr:row>115</xdr:row>
      <xdr:rowOff>86593</xdr:rowOff>
    </xdr:from>
    <xdr:to>
      <xdr:col>53</xdr:col>
      <xdr:colOff>242456</xdr:colOff>
      <xdr:row>136</xdr:row>
      <xdr:rowOff>86499</xdr:rowOff>
    </xdr:to>
    <xdr:pic>
      <xdr:nvPicPr>
        <xdr:cNvPr id="6" name="Picture 4" descr="ротор г)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33406773" y="29960457"/>
          <a:ext cx="2372592" cy="5455133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49</xdr:col>
      <xdr:colOff>363683</xdr:colOff>
      <xdr:row>140</xdr:row>
      <xdr:rowOff>121227</xdr:rowOff>
    </xdr:from>
    <xdr:to>
      <xdr:col>53</xdr:col>
      <xdr:colOff>189036</xdr:colOff>
      <xdr:row>161</xdr:row>
      <xdr:rowOff>86592</xdr:rowOff>
    </xdr:to>
    <xdr:pic>
      <xdr:nvPicPr>
        <xdr:cNvPr id="7" name="Picture 5" descr="ротор д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33476047" y="36489409"/>
          <a:ext cx="2249898" cy="5420592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49</xdr:col>
      <xdr:colOff>207817</xdr:colOff>
      <xdr:row>165</xdr:row>
      <xdr:rowOff>138546</xdr:rowOff>
    </xdr:from>
    <xdr:to>
      <xdr:col>54</xdr:col>
      <xdr:colOff>484909</xdr:colOff>
      <xdr:row>186</xdr:row>
      <xdr:rowOff>82300</xdr:rowOff>
    </xdr:to>
    <xdr:pic>
      <xdr:nvPicPr>
        <xdr:cNvPr id="2054" name="Picture 6" descr="ротор е)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33320181" y="43001046"/>
          <a:ext cx="3307773" cy="5398981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62</xdr:col>
      <xdr:colOff>166687</xdr:colOff>
      <xdr:row>117</xdr:row>
      <xdr:rowOff>238126</xdr:rowOff>
    </xdr:from>
    <xdr:to>
      <xdr:col>67</xdr:col>
      <xdr:colOff>384167</xdr:colOff>
      <xdr:row>130</xdr:row>
      <xdr:rowOff>142877</xdr:rowOff>
    </xdr:to>
    <xdr:pic>
      <xdr:nvPicPr>
        <xdr:cNvPr id="2056" name="Picture 8" descr="ротор ж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42862500" y="30884814"/>
          <a:ext cx="3313105" cy="3309938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62</xdr:col>
      <xdr:colOff>261938</xdr:colOff>
      <xdr:row>141</xdr:row>
      <xdr:rowOff>190500</xdr:rowOff>
    </xdr:from>
    <xdr:to>
      <xdr:col>67</xdr:col>
      <xdr:colOff>438058</xdr:colOff>
      <xdr:row>153</xdr:row>
      <xdr:rowOff>142876</xdr:rowOff>
    </xdr:to>
    <xdr:pic>
      <xdr:nvPicPr>
        <xdr:cNvPr id="8" name="Picture 9" descr="ротор з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42957751" y="37123688"/>
          <a:ext cx="3271745" cy="3095626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62</xdr:col>
      <xdr:colOff>190500</xdr:colOff>
      <xdr:row>166</xdr:row>
      <xdr:rowOff>142875</xdr:rowOff>
    </xdr:from>
    <xdr:to>
      <xdr:col>67</xdr:col>
      <xdr:colOff>322169</xdr:colOff>
      <xdr:row>179</xdr:row>
      <xdr:rowOff>238124</xdr:rowOff>
    </xdr:to>
    <xdr:pic>
      <xdr:nvPicPr>
        <xdr:cNvPr id="9" name="Picture 11" descr="ротор и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42886313" y="43624500"/>
          <a:ext cx="3227294" cy="3500437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32</xdr:col>
      <xdr:colOff>368803</xdr:colOff>
      <xdr:row>126</xdr:row>
      <xdr:rowOff>48490</xdr:rowOff>
    </xdr:from>
    <xdr:to>
      <xdr:col>33</xdr:col>
      <xdr:colOff>592355</xdr:colOff>
      <xdr:row>130</xdr:row>
      <xdr:rowOff>263238</xdr:rowOff>
    </xdr:to>
    <xdr:sp macro="" textlink="">
      <xdr:nvSpPr>
        <xdr:cNvPr id="110" name="Стрелка вправо 109"/>
        <xdr:cNvSpPr/>
      </xdr:nvSpPr>
      <xdr:spPr>
        <a:xfrm>
          <a:off x="20676103" y="33652690"/>
          <a:ext cx="2509552" cy="1281548"/>
        </a:xfrm>
        <a:prstGeom prst="rightArrow">
          <a:avLst/>
        </a:prstGeom>
        <a:solidFill>
          <a:srgbClr val="92D050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32</xdr:col>
      <xdr:colOff>102103</xdr:colOff>
      <xdr:row>152</xdr:row>
      <xdr:rowOff>162790</xdr:rowOff>
    </xdr:from>
    <xdr:to>
      <xdr:col>33</xdr:col>
      <xdr:colOff>354230</xdr:colOff>
      <xdr:row>157</xdr:row>
      <xdr:rowOff>101313</xdr:rowOff>
    </xdr:to>
    <xdr:sp macro="" textlink="">
      <xdr:nvSpPr>
        <xdr:cNvPr id="111" name="Стрелка вправо 110"/>
        <xdr:cNvSpPr/>
      </xdr:nvSpPr>
      <xdr:spPr>
        <a:xfrm>
          <a:off x="20409403" y="40701190"/>
          <a:ext cx="2538127" cy="1272023"/>
        </a:xfrm>
        <a:prstGeom prst="rightArrow">
          <a:avLst/>
        </a:prstGeom>
        <a:solidFill>
          <a:srgbClr val="92D050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32</xdr:col>
      <xdr:colOff>219075</xdr:colOff>
      <xdr:row>176</xdr:row>
      <xdr:rowOff>85725</xdr:rowOff>
    </xdr:from>
    <xdr:to>
      <xdr:col>33</xdr:col>
      <xdr:colOff>480727</xdr:colOff>
      <xdr:row>181</xdr:row>
      <xdr:rowOff>38535</xdr:rowOff>
    </xdr:to>
    <xdr:sp macro="" textlink="">
      <xdr:nvSpPr>
        <xdr:cNvPr id="112" name="Стрелка вправо 111"/>
        <xdr:cNvSpPr/>
      </xdr:nvSpPr>
      <xdr:spPr>
        <a:xfrm>
          <a:off x="20840700" y="46186725"/>
          <a:ext cx="2547652" cy="1262498"/>
        </a:xfrm>
        <a:prstGeom prst="rightArrow">
          <a:avLst/>
        </a:prstGeom>
        <a:solidFill>
          <a:srgbClr val="92D050"/>
        </a:solidFill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 editAs="oneCell">
    <xdr:from>
      <xdr:col>70</xdr:col>
      <xdr:colOff>57582</xdr:colOff>
      <xdr:row>54</xdr:row>
      <xdr:rowOff>12554</xdr:rowOff>
    </xdr:from>
    <xdr:to>
      <xdr:col>83</xdr:col>
      <xdr:colOff>214313</xdr:colOff>
      <xdr:row>110</xdr:row>
      <xdr:rowOff>141086</xdr:rowOff>
    </xdr:to>
    <xdr:pic>
      <xdr:nvPicPr>
        <xdr:cNvPr id="1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50082882" y="14414354"/>
          <a:ext cx="9338831" cy="15063732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49</xdr:col>
      <xdr:colOff>21647</xdr:colOff>
      <xdr:row>114</xdr:row>
      <xdr:rowOff>227302</xdr:rowOff>
    </xdr:from>
    <xdr:to>
      <xdr:col>55</xdr:col>
      <xdr:colOff>35872</xdr:colOff>
      <xdr:row>136</xdr:row>
      <xdr:rowOff>250496</xdr:rowOff>
    </xdr:to>
    <xdr:sp macro="" textlink="">
      <xdr:nvSpPr>
        <xdr:cNvPr id="48" name="Прямоугольник 47"/>
        <xdr:cNvSpPr/>
      </xdr:nvSpPr>
      <xdr:spPr>
        <a:xfrm>
          <a:off x="36335710" y="30088177"/>
          <a:ext cx="3728975" cy="5785819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36</xdr:col>
      <xdr:colOff>7359</xdr:colOff>
      <xdr:row>139</xdr:row>
      <xdr:rowOff>260639</xdr:rowOff>
    </xdr:from>
    <xdr:to>
      <xdr:col>42</xdr:col>
      <xdr:colOff>21584</xdr:colOff>
      <xdr:row>162</xdr:row>
      <xdr:rowOff>21896</xdr:rowOff>
    </xdr:to>
    <xdr:sp macro="" textlink="">
      <xdr:nvSpPr>
        <xdr:cNvPr id="49" name="Прямоугольник 48"/>
        <xdr:cNvSpPr/>
      </xdr:nvSpPr>
      <xdr:spPr>
        <a:xfrm>
          <a:off x="27129797" y="36669952"/>
          <a:ext cx="3728975" cy="5785819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49</xdr:col>
      <xdr:colOff>16884</xdr:colOff>
      <xdr:row>140</xdr:row>
      <xdr:rowOff>55852</xdr:rowOff>
    </xdr:from>
    <xdr:to>
      <xdr:col>55</xdr:col>
      <xdr:colOff>31109</xdr:colOff>
      <xdr:row>162</xdr:row>
      <xdr:rowOff>79046</xdr:rowOff>
    </xdr:to>
    <xdr:sp macro="" textlink="">
      <xdr:nvSpPr>
        <xdr:cNvPr id="50" name="Прямоугольник 49"/>
        <xdr:cNvSpPr/>
      </xdr:nvSpPr>
      <xdr:spPr>
        <a:xfrm>
          <a:off x="36330947" y="36727102"/>
          <a:ext cx="3728975" cy="5785819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36</xdr:col>
      <xdr:colOff>26408</xdr:colOff>
      <xdr:row>165</xdr:row>
      <xdr:rowOff>41565</xdr:rowOff>
    </xdr:from>
    <xdr:to>
      <xdr:col>42</xdr:col>
      <xdr:colOff>40633</xdr:colOff>
      <xdr:row>187</xdr:row>
      <xdr:rowOff>64759</xdr:rowOff>
    </xdr:to>
    <xdr:sp macro="" textlink="">
      <xdr:nvSpPr>
        <xdr:cNvPr id="51" name="Прямоугольник 50"/>
        <xdr:cNvSpPr/>
      </xdr:nvSpPr>
      <xdr:spPr>
        <a:xfrm>
          <a:off x="27148846" y="43261253"/>
          <a:ext cx="3728975" cy="5785819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49</xdr:col>
      <xdr:colOff>12120</xdr:colOff>
      <xdr:row>164</xdr:row>
      <xdr:rowOff>241590</xdr:rowOff>
    </xdr:from>
    <xdr:to>
      <xdr:col>55</xdr:col>
      <xdr:colOff>26345</xdr:colOff>
      <xdr:row>187</xdr:row>
      <xdr:rowOff>2846</xdr:rowOff>
    </xdr:to>
    <xdr:sp macro="" textlink="">
      <xdr:nvSpPr>
        <xdr:cNvPr id="52" name="Прямоугольник 51"/>
        <xdr:cNvSpPr/>
      </xdr:nvSpPr>
      <xdr:spPr>
        <a:xfrm>
          <a:off x="36326183" y="43199340"/>
          <a:ext cx="3728975" cy="5785819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61</xdr:col>
      <xdr:colOff>593145</xdr:colOff>
      <xdr:row>114</xdr:row>
      <xdr:rowOff>227303</xdr:rowOff>
    </xdr:from>
    <xdr:to>
      <xdr:col>67</xdr:col>
      <xdr:colOff>607370</xdr:colOff>
      <xdr:row>136</xdr:row>
      <xdr:rowOff>250497</xdr:rowOff>
    </xdr:to>
    <xdr:sp macro="" textlink="">
      <xdr:nvSpPr>
        <xdr:cNvPr id="53" name="Прямоугольник 52"/>
        <xdr:cNvSpPr/>
      </xdr:nvSpPr>
      <xdr:spPr>
        <a:xfrm>
          <a:off x="45741645" y="30088178"/>
          <a:ext cx="3728975" cy="5785819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62</xdr:col>
      <xdr:colOff>31170</xdr:colOff>
      <xdr:row>140</xdr:row>
      <xdr:rowOff>22516</xdr:rowOff>
    </xdr:from>
    <xdr:to>
      <xdr:col>68</xdr:col>
      <xdr:colOff>45395</xdr:colOff>
      <xdr:row>162</xdr:row>
      <xdr:rowOff>45710</xdr:rowOff>
    </xdr:to>
    <xdr:sp macro="" textlink="">
      <xdr:nvSpPr>
        <xdr:cNvPr id="54" name="Прямоугольник 53"/>
        <xdr:cNvSpPr/>
      </xdr:nvSpPr>
      <xdr:spPr>
        <a:xfrm>
          <a:off x="45798795" y="36693766"/>
          <a:ext cx="3728975" cy="5785819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62</xdr:col>
      <xdr:colOff>16882</xdr:colOff>
      <xdr:row>165</xdr:row>
      <xdr:rowOff>8228</xdr:rowOff>
    </xdr:from>
    <xdr:to>
      <xdr:col>68</xdr:col>
      <xdr:colOff>31107</xdr:colOff>
      <xdr:row>187</xdr:row>
      <xdr:rowOff>31422</xdr:rowOff>
    </xdr:to>
    <xdr:sp macro="" textlink="">
      <xdr:nvSpPr>
        <xdr:cNvPr id="58" name="Прямоугольник 57"/>
        <xdr:cNvSpPr/>
      </xdr:nvSpPr>
      <xdr:spPr>
        <a:xfrm>
          <a:off x="45784507" y="43227916"/>
          <a:ext cx="3728975" cy="5785819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36</xdr:col>
      <xdr:colOff>23009</xdr:colOff>
      <xdr:row>115</xdr:row>
      <xdr:rowOff>2289</xdr:rowOff>
    </xdr:from>
    <xdr:to>
      <xdr:col>42</xdr:col>
      <xdr:colOff>46759</xdr:colOff>
      <xdr:row>137</xdr:row>
      <xdr:rowOff>29008</xdr:rowOff>
    </xdr:to>
    <xdr:sp macro="" textlink="">
      <xdr:nvSpPr>
        <xdr:cNvPr id="69" name="Прямоугольник 68"/>
        <xdr:cNvSpPr/>
      </xdr:nvSpPr>
      <xdr:spPr>
        <a:xfrm>
          <a:off x="26727645" y="29876153"/>
          <a:ext cx="3660569" cy="5741719"/>
        </a:xfrm>
        <a:prstGeom prst="rect">
          <a:avLst/>
        </a:prstGeom>
        <a:solidFill>
          <a:srgbClr val="92D05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49</xdr:col>
      <xdr:colOff>10205</xdr:colOff>
      <xdr:row>55</xdr:row>
      <xdr:rowOff>30616</xdr:rowOff>
    </xdr:from>
    <xdr:to>
      <xdr:col>55</xdr:col>
      <xdr:colOff>24430</xdr:colOff>
      <xdr:row>77</xdr:row>
      <xdr:rowOff>55976</xdr:rowOff>
    </xdr:to>
    <xdr:sp macro="" textlink="">
      <xdr:nvSpPr>
        <xdr:cNvPr id="70" name="Прямоугольник 69"/>
        <xdr:cNvSpPr/>
      </xdr:nvSpPr>
      <xdr:spPr>
        <a:xfrm>
          <a:off x="36324268" y="14437179"/>
          <a:ext cx="3728975" cy="5787985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62</xdr:col>
      <xdr:colOff>34018</xdr:colOff>
      <xdr:row>30</xdr:row>
      <xdr:rowOff>6804</xdr:rowOff>
    </xdr:from>
    <xdr:to>
      <xdr:col>68</xdr:col>
      <xdr:colOff>48243</xdr:colOff>
      <xdr:row>52</xdr:row>
      <xdr:rowOff>32164</xdr:rowOff>
    </xdr:to>
    <xdr:sp macro="" textlink="">
      <xdr:nvSpPr>
        <xdr:cNvPr id="71" name="Прямоугольник 70"/>
        <xdr:cNvSpPr/>
      </xdr:nvSpPr>
      <xdr:spPr>
        <a:xfrm>
          <a:off x="45801643" y="7864929"/>
          <a:ext cx="3728975" cy="5787985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61</xdr:col>
      <xdr:colOff>615044</xdr:colOff>
      <xdr:row>4</xdr:row>
      <xdr:rowOff>230642</xdr:rowOff>
    </xdr:from>
    <xdr:to>
      <xdr:col>68</xdr:col>
      <xdr:colOff>10144</xdr:colOff>
      <xdr:row>26</xdr:row>
      <xdr:rowOff>256002</xdr:rowOff>
    </xdr:to>
    <xdr:sp macro="" textlink="">
      <xdr:nvSpPr>
        <xdr:cNvPr id="72" name="Прямоугольник 71"/>
        <xdr:cNvSpPr/>
      </xdr:nvSpPr>
      <xdr:spPr>
        <a:xfrm>
          <a:off x="45763544" y="1278392"/>
          <a:ext cx="3728975" cy="5787985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76</xdr:col>
      <xdr:colOff>43543</xdr:colOff>
      <xdr:row>30</xdr:row>
      <xdr:rowOff>16329</xdr:rowOff>
    </xdr:from>
    <xdr:to>
      <xdr:col>82</xdr:col>
      <xdr:colOff>57768</xdr:colOff>
      <xdr:row>52</xdr:row>
      <xdr:rowOff>41689</xdr:rowOff>
    </xdr:to>
    <xdr:sp macro="" textlink="">
      <xdr:nvSpPr>
        <xdr:cNvPr id="73" name="Прямоугольник 72"/>
        <xdr:cNvSpPr/>
      </xdr:nvSpPr>
      <xdr:spPr>
        <a:xfrm>
          <a:off x="55717168" y="7874454"/>
          <a:ext cx="3728975" cy="5787985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  <xdr:twoCellAnchor>
    <xdr:from>
      <xdr:col>75</xdr:col>
      <xdr:colOff>595313</xdr:colOff>
      <xdr:row>5</xdr:row>
      <xdr:rowOff>214312</xdr:rowOff>
    </xdr:from>
    <xdr:to>
      <xdr:col>81</xdr:col>
      <xdr:colOff>609538</xdr:colOff>
      <xdr:row>27</xdr:row>
      <xdr:rowOff>239672</xdr:rowOff>
    </xdr:to>
    <xdr:sp macro="" textlink="">
      <xdr:nvSpPr>
        <xdr:cNvPr id="74" name="Прямоугольник 73"/>
        <xdr:cNvSpPr/>
      </xdr:nvSpPr>
      <xdr:spPr>
        <a:xfrm>
          <a:off x="55649813" y="1524000"/>
          <a:ext cx="3728975" cy="5787985"/>
        </a:xfrm>
        <a:prstGeom prst="rect">
          <a:avLst/>
        </a:prstGeom>
        <a:solidFill>
          <a:srgbClr val="FF0000">
            <a:alpha val="50000"/>
          </a:srgbClr>
        </a:solidFill>
        <a:ln w="44450">
          <a:solidFill>
            <a:schemeClr val="tx1"/>
          </a:solidFill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ru-RU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235324</xdr:colOff>
      <xdr:row>21</xdr:row>
      <xdr:rowOff>22411</xdr:rowOff>
    </xdr:from>
    <xdr:to>
      <xdr:col>8</xdr:col>
      <xdr:colOff>110884</xdr:colOff>
      <xdr:row>33</xdr:row>
      <xdr:rowOff>723855</xdr:rowOff>
    </xdr:to>
    <xdr:pic>
      <xdr:nvPicPr>
        <xdr:cNvPr id="2" name="Picture 30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5324" y="4952999"/>
          <a:ext cx="5803472" cy="7850237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123072</xdr:colOff>
      <xdr:row>16</xdr:row>
      <xdr:rowOff>122558</xdr:rowOff>
    </xdr:from>
    <xdr:to>
      <xdr:col>12</xdr:col>
      <xdr:colOff>216737</xdr:colOff>
      <xdr:row>59</xdr:row>
      <xdr:rowOff>122559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47715" y="3170558"/>
          <a:ext cx="6216879" cy="8191501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12</xdr:col>
      <xdr:colOff>422423</xdr:colOff>
      <xdr:row>19</xdr:row>
      <xdr:rowOff>67992</xdr:rowOff>
    </xdr:from>
    <xdr:to>
      <xdr:col>19</xdr:col>
      <xdr:colOff>338164</xdr:colOff>
      <xdr:row>57</xdr:row>
      <xdr:rowOff>77517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683835" y="3687492"/>
          <a:ext cx="4151564" cy="7248525"/>
        </a:xfrm>
        <a:prstGeom prst="rect">
          <a:avLst/>
        </a:prstGeom>
        <a:noFill/>
        <a:ln>
          <a:solidFill>
            <a:schemeClr val="tx1"/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80681</xdr:colOff>
      <xdr:row>4</xdr:row>
      <xdr:rowOff>17291</xdr:rowOff>
    </xdr:from>
    <xdr:to>
      <xdr:col>12</xdr:col>
      <xdr:colOff>139489</xdr:colOff>
      <xdr:row>19</xdr:row>
      <xdr:rowOff>55391</xdr:rowOff>
    </xdr:to>
    <xdr:pic>
      <xdr:nvPicPr>
        <xdr:cNvPr id="3073" name="Picture 1" descr="9,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754860" y="779291"/>
          <a:ext cx="3120415" cy="2895600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1</xdr:col>
      <xdr:colOff>181538</xdr:colOff>
      <xdr:row>3</xdr:row>
      <xdr:rowOff>167287</xdr:rowOff>
    </xdr:from>
    <xdr:to>
      <xdr:col>6</xdr:col>
      <xdr:colOff>176893</xdr:colOff>
      <xdr:row>39</xdr:row>
      <xdr:rowOff>5362</xdr:rowOff>
    </xdr:to>
    <xdr:pic>
      <xdr:nvPicPr>
        <xdr:cNvPr id="3074" name="Picture 2" descr="319стр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93859" y="738787"/>
          <a:ext cx="4444891" cy="6696075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23</xdr:col>
      <xdr:colOff>72277</xdr:colOff>
      <xdr:row>4</xdr:row>
      <xdr:rowOff>43142</xdr:rowOff>
    </xdr:from>
    <xdr:to>
      <xdr:col>28</xdr:col>
      <xdr:colOff>177053</xdr:colOff>
      <xdr:row>20</xdr:row>
      <xdr:rowOff>147917</xdr:rowOff>
    </xdr:to>
    <xdr:pic>
      <xdr:nvPicPr>
        <xdr:cNvPr id="3075" name="Picture 3" descr="9,8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3989983" y="805142"/>
          <a:ext cx="3130364" cy="3152775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14</xdr:col>
      <xdr:colOff>103910</xdr:colOff>
      <xdr:row>4</xdr:row>
      <xdr:rowOff>69274</xdr:rowOff>
    </xdr:from>
    <xdr:to>
      <xdr:col>22</xdr:col>
      <xdr:colOff>336657</xdr:colOff>
      <xdr:row>39</xdr:row>
      <xdr:rowOff>100853</xdr:rowOff>
    </xdr:to>
    <xdr:pic>
      <xdr:nvPicPr>
        <xdr:cNvPr id="3078" name="Picture 6" descr="321стр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575557" y="831274"/>
          <a:ext cx="5073688" cy="6699079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17</xdr:col>
      <xdr:colOff>222042</xdr:colOff>
      <xdr:row>41</xdr:row>
      <xdr:rowOff>78240</xdr:rowOff>
    </xdr:from>
    <xdr:to>
      <xdr:col>27</xdr:col>
      <xdr:colOff>74404</xdr:colOff>
      <xdr:row>63</xdr:row>
      <xdr:rowOff>29749</xdr:rowOff>
    </xdr:to>
    <xdr:pic>
      <xdr:nvPicPr>
        <xdr:cNvPr id="3084" name="Picture 12" descr="Двигатель серии 4А степень защиты IP44 корпус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0937667" y="7888740"/>
          <a:ext cx="6162675" cy="4142509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32</xdr:col>
      <xdr:colOff>504139</xdr:colOff>
      <xdr:row>125</xdr:row>
      <xdr:rowOff>47626</xdr:rowOff>
    </xdr:from>
    <xdr:to>
      <xdr:col>60</xdr:col>
      <xdr:colOff>75510</xdr:colOff>
      <xdr:row>163</xdr:row>
      <xdr:rowOff>47625</xdr:rowOff>
    </xdr:to>
    <xdr:pic>
      <xdr:nvPicPr>
        <xdr:cNvPr id="2" name="Picture 12" descr="Image27_0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1649639" y="28908376"/>
          <a:ext cx="17859371" cy="7238999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1</xdr:col>
      <xdr:colOff>169141</xdr:colOff>
      <xdr:row>126</xdr:row>
      <xdr:rowOff>65821</xdr:rowOff>
    </xdr:from>
    <xdr:to>
      <xdr:col>25</xdr:col>
      <xdr:colOff>485777</xdr:colOff>
      <xdr:row>164</xdr:row>
      <xdr:rowOff>49661</xdr:rowOff>
    </xdr:to>
    <xdr:pic>
      <xdr:nvPicPr>
        <xdr:cNvPr id="3085" name="Picture 13" descr="Image26_0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88266" y="28236009"/>
          <a:ext cx="15509011" cy="7222840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72</xdr:col>
      <xdr:colOff>282304</xdr:colOff>
      <xdr:row>126</xdr:row>
      <xdr:rowOff>80962</xdr:rowOff>
    </xdr:from>
    <xdr:to>
      <xdr:col>97</xdr:col>
      <xdr:colOff>339710</xdr:colOff>
      <xdr:row>164</xdr:row>
      <xdr:rowOff>95250</xdr:rowOff>
    </xdr:to>
    <xdr:pic>
      <xdr:nvPicPr>
        <xdr:cNvPr id="3086" name="Picture 14" descr="Image32_0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lum contrast="16000"/>
        </a:blip>
        <a:srcRect/>
        <a:stretch>
          <a:fillRect/>
        </a:stretch>
      </xdr:blipFill>
      <xdr:spPr bwMode="auto">
        <a:xfrm>
          <a:off x="46573804" y="29132212"/>
          <a:ext cx="14344906" cy="7253288"/>
        </a:xfrm>
        <a:prstGeom prst="rect">
          <a:avLst/>
        </a:prstGeom>
        <a:noFill/>
        <a:ln w="9525">
          <a:solidFill>
            <a:schemeClr val="tx1"/>
          </a:solidFill>
          <a:miter lim="800000"/>
          <a:headEnd/>
          <a:tailEnd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oleObject" Target="../embeddings/oleObject114.bin"/><Relationship Id="rId21" Type="http://schemas.openxmlformats.org/officeDocument/2006/relationships/oleObject" Target="../embeddings/oleObject18.bin"/><Relationship Id="rId42" Type="http://schemas.openxmlformats.org/officeDocument/2006/relationships/oleObject" Target="../embeddings/oleObject39.bin"/><Relationship Id="rId63" Type="http://schemas.openxmlformats.org/officeDocument/2006/relationships/oleObject" Target="../embeddings/oleObject60.bin"/><Relationship Id="rId84" Type="http://schemas.openxmlformats.org/officeDocument/2006/relationships/oleObject" Target="../embeddings/oleObject81.bin"/><Relationship Id="rId138" Type="http://schemas.openxmlformats.org/officeDocument/2006/relationships/oleObject" Target="../embeddings/oleObject135.bin"/><Relationship Id="rId159" Type="http://schemas.openxmlformats.org/officeDocument/2006/relationships/oleObject" Target="../embeddings/oleObject156.bin"/><Relationship Id="rId170" Type="http://schemas.openxmlformats.org/officeDocument/2006/relationships/oleObject" Target="../embeddings/oleObject167.bin"/><Relationship Id="rId191" Type="http://schemas.openxmlformats.org/officeDocument/2006/relationships/oleObject" Target="../embeddings/oleObject188.bin"/><Relationship Id="rId205" Type="http://schemas.openxmlformats.org/officeDocument/2006/relationships/oleObject" Target="../embeddings/oleObject202.bin"/><Relationship Id="rId226" Type="http://schemas.openxmlformats.org/officeDocument/2006/relationships/oleObject" Target="../embeddings/oleObject223.bin"/><Relationship Id="rId247" Type="http://schemas.openxmlformats.org/officeDocument/2006/relationships/oleObject" Target="../embeddings/oleObject244.bin"/><Relationship Id="rId107" Type="http://schemas.openxmlformats.org/officeDocument/2006/relationships/oleObject" Target="../embeddings/oleObject104.bin"/><Relationship Id="rId268" Type="http://schemas.openxmlformats.org/officeDocument/2006/relationships/oleObject" Target="../embeddings/oleObject265.bin"/><Relationship Id="rId11" Type="http://schemas.openxmlformats.org/officeDocument/2006/relationships/oleObject" Target="../embeddings/oleObject8.bin"/><Relationship Id="rId32" Type="http://schemas.openxmlformats.org/officeDocument/2006/relationships/oleObject" Target="../embeddings/oleObject29.bin"/><Relationship Id="rId53" Type="http://schemas.openxmlformats.org/officeDocument/2006/relationships/oleObject" Target="../embeddings/oleObject50.bin"/><Relationship Id="rId74" Type="http://schemas.openxmlformats.org/officeDocument/2006/relationships/oleObject" Target="../embeddings/oleObject71.bin"/><Relationship Id="rId128" Type="http://schemas.openxmlformats.org/officeDocument/2006/relationships/oleObject" Target="../embeddings/oleObject125.bin"/><Relationship Id="rId149" Type="http://schemas.openxmlformats.org/officeDocument/2006/relationships/oleObject" Target="../embeddings/oleObject146.bin"/><Relationship Id="rId5" Type="http://schemas.openxmlformats.org/officeDocument/2006/relationships/oleObject" Target="../embeddings/oleObject2.bin"/><Relationship Id="rId95" Type="http://schemas.openxmlformats.org/officeDocument/2006/relationships/oleObject" Target="../embeddings/oleObject92.bin"/><Relationship Id="rId160" Type="http://schemas.openxmlformats.org/officeDocument/2006/relationships/oleObject" Target="../embeddings/oleObject157.bin"/><Relationship Id="rId181" Type="http://schemas.openxmlformats.org/officeDocument/2006/relationships/oleObject" Target="../embeddings/oleObject178.bin"/><Relationship Id="rId216" Type="http://schemas.openxmlformats.org/officeDocument/2006/relationships/oleObject" Target="../embeddings/oleObject213.bin"/><Relationship Id="rId237" Type="http://schemas.openxmlformats.org/officeDocument/2006/relationships/oleObject" Target="../embeddings/oleObject234.bin"/><Relationship Id="rId258" Type="http://schemas.openxmlformats.org/officeDocument/2006/relationships/oleObject" Target="../embeddings/oleObject255.bin"/><Relationship Id="rId22" Type="http://schemas.openxmlformats.org/officeDocument/2006/relationships/oleObject" Target="../embeddings/oleObject19.bin"/><Relationship Id="rId43" Type="http://schemas.openxmlformats.org/officeDocument/2006/relationships/oleObject" Target="../embeddings/oleObject40.bin"/><Relationship Id="rId64" Type="http://schemas.openxmlformats.org/officeDocument/2006/relationships/oleObject" Target="../embeddings/oleObject61.bin"/><Relationship Id="rId118" Type="http://schemas.openxmlformats.org/officeDocument/2006/relationships/oleObject" Target="../embeddings/oleObject115.bin"/><Relationship Id="rId139" Type="http://schemas.openxmlformats.org/officeDocument/2006/relationships/oleObject" Target="../embeddings/oleObject136.bin"/><Relationship Id="rId85" Type="http://schemas.openxmlformats.org/officeDocument/2006/relationships/oleObject" Target="../embeddings/oleObject82.bin"/><Relationship Id="rId150" Type="http://schemas.openxmlformats.org/officeDocument/2006/relationships/oleObject" Target="../embeddings/oleObject147.bin"/><Relationship Id="rId171" Type="http://schemas.openxmlformats.org/officeDocument/2006/relationships/oleObject" Target="../embeddings/oleObject168.bin"/><Relationship Id="rId192" Type="http://schemas.openxmlformats.org/officeDocument/2006/relationships/oleObject" Target="../embeddings/oleObject189.bin"/><Relationship Id="rId206" Type="http://schemas.openxmlformats.org/officeDocument/2006/relationships/oleObject" Target="../embeddings/oleObject203.bin"/><Relationship Id="rId227" Type="http://schemas.openxmlformats.org/officeDocument/2006/relationships/oleObject" Target="../embeddings/oleObject224.bin"/><Relationship Id="rId248" Type="http://schemas.openxmlformats.org/officeDocument/2006/relationships/oleObject" Target="../embeddings/oleObject245.bin"/><Relationship Id="rId12" Type="http://schemas.openxmlformats.org/officeDocument/2006/relationships/oleObject" Target="../embeddings/oleObject9.bin"/><Relationship Id="rId33" Type="http://schemas.openxmlformats.org/officeDocument/2006/relationships/oleObject" Target="../embeddings/oleObject30.bin"/><Relationship Id="rId108" Type="http://schemas.openxmlformats.org/officeDocument/2006/relationships/oleObject" Target="../embeddings/oleObject105.bin"/><Relationship Id="rId129" Type="http://schemas.openxmlformats.org/officeDocument/2006/relationships/oleObject" Target="../embeddings/oleObject126.bin"/><Relationship Id="rId54" Type="http://schemas.openxmlformats.org/officeDocument/2006/relationships/oleObject" Target="../embeddings/oleObject51.bin"/><Relationship Id="rId75" Type="http://schemas.openxmlformats.org/officeDocument/2006/relationships/oleObject" Target="../embeddings/oleObject72.bin"/><Relationship Id="rId96" Type="http://schemas.openxmlformats.org/officeDocument/2006/relationships/oleObject" Target="../embeddings/oleObject93.bin"/><Relationship Id="rId140" Type="http://schemas.openxmlformats.org/officeDocument/2006/relationships/oleObject" Target="../embeddings/oleObject137.bin"/><Relationship Id="rId161" Type="http://schemas.openxmlformats.org/officeDocument/2006/relationships/oleObject" Target="../embeddings/oleObject158.bin"/><Relationship Id="rId182" Type="http://schemas.openxmlformats.org/officeDocument/2006/relationships/oleObject" Target="../embeddings/oleObject179.bin"/><Relationship Id="rId217" Type="http://schemas.openxmlformats.org/officeDocument/2006/relationships/oleObject" Target="../embeddings/oleObject214.bin"/><Relationship Id="rId6" Type="http://schemas.openxmlformats.org/officeDocument/2006/relationships/oleObject" Target="../embeddings/oleObject3.bin"/><Relationship Id="rId238" Type="http://schemas.openxmlformats.org/officeDocument/2006/relationships/oleObject" Target="../embeddings/oleObject235.bin"/><Relationship Id="rId259" Type="http://schemas.openxmlformats.org/officeDocument/2006/relationships/oleObject" Target="../embeddings/oleObject256.bin"/><Relationship Id="rId23" Type="http://schemas.openxmlformats.org/officeDocument/2006/relationships/oleObject" Target="../embeddings/oleObject20.bin"/><Relationship Id="rId28" Type="http://schemas.openxmlformats.org/officeDocument/2006/relationships/oleObject" Target="../embeddings/oleObject25.bin"/><Relationship Id="rId49" Type="http://schemas.openxmlformats.org/officeDocument/2006/relationships/oleObject" Target="../embeddings/oleObject46.bin"/><Relationship Id="rId114" Type="http://schemas.openxmlformats.org/officeDocument/2006/relationships/oleObject" Target="../embeddings/oleObject111.bin"/><Relationship Id="rId119" Type="http://schemas.openxmlformats.org/officeDocument/2006/relationships/oleObject" Target="../embeddings/oleObject116.bin"/><Relationship Id="rId44" Type="http://schemas.openxmlformats.org/officeDocument/2006/relationships/oleObject" Target="../embeddings/oleObject41.bin"/><Relationship Id="rId60" Type="http://schemas.openxmlformats.org/officeDocument/2006/relationships/oleObject" Target="../embeddings/oleObject57.bin"/><Relationship Id="rId65" Type="http://schemas.openxmlformats.org/officeDocument/2006/relationships/oleObject" Target="../embeddings/oleObject62.bin"/><Relationship Id="rId81" Type="http://schemas.openxmlformats.org/officeDocument/2006/relationships/oleObject" Target="../embeddings/oleObject78.bin"/><Relationship Id="rId86" Type="http://schemas.openxmlformats.org/officeDocument/2006/relationships/oleObject" Target="../embeddings/oleObject83.bin"/><Relationship Id="rId130" Type="http://schemas.openxmlformats.org/officeDocument/2006/relationships/oleObject" Target="../embeddings/oleObject127.bin"/><Relationship Id="rId135" Type="http://schemas.openxmlformats.org/officeDocument/2006/relationships/oleObject" Target="../embeddings/oleObject132.bin"/><Relationship Id="rId151" Type="http://schemas.openxmlformats.org/officeDocument/2006/relationships/oleObject" Target="../embeddings/oleObject148.bin"/><Relationship Id="rId156" Type="http://schemas.openxmlformats.org/officeDocument/2006/relationships/oleObject" Target="../embeddings/oleObject153.bin"/><Relationship Id="rId177" Type="http://schemas.openxmlformats.org/officeDocument/2006/relationships/oleObject" Target="../embeddings/oleObject174.bin"/><Relationship Id="rId198" Type="http://schemas.openxmlformats.org/officeDocument/2006/relationships/oleObject" Target="../embeddings/oleObject195.bin"/><Relationship Id="rId172" Type="http://schemas.openxmlformats.org/officeDocument/2006/relationships/oleObject" Target="../embeddings/oleObject169.bin"/><Relationship Id="rId193" Type="http://schemas.openxmlformats.org/officeDocument/2006/relationships/oleObject" Target="../embeddings/oleObject190.bin"/><Relationship Id="rId202" Type="http://schemas.openxmlformats.org/officeDocument/2006/relationships/oleObject" Target="../embeddings/oleObject199.bin"/><Relationship Id="rId207" Type="http://schemas.openxmlformats.org/officeDocument/2006/relationships/oleObject" Target="../embeddings/oleObject204.bin"/><Relationship Id="rId223" Type="http://schemas.openxmlformats.org/officeDocument/2006/relationships/oleObject" Target="../embeddings/oleObject220.bin"/><Relationship Id="rId228" Type="http://schemas.openxmlformats.org/officeDocument/2006/relationships/oleObject" Target="../embeddings/oleObject225.bin"/><Relationship Id="rId244" Type="http://schemas.openxmlformats.org/officeDocument/2006/relationships/oleObject" Target="../embeddings/oleObject241.bin"/><Relationship Id="rId249" Type="http://schemas.openxmlformats.org/officeDocument/2006/relationships/oleObject" Target="../embeddings/oleObject246.bin"/><Relationship Id="rId13" Type="http://schemas.openxmlformats.org/officeDocument/2006/relationships/oleObject" Target="../embeddings/oleObject10.bin"/><Relationship Id="rId18" Type="http://schemas.openxmlformats.org/officeDocument/2006/relationships/oleObject" Target="../embeddings/oleObject15.bin"/><Relationship Id="rId39" Type="http://schemas.openxmlformats.org/officeDocument/2006/relationships/oleObject" Target="../embeddings/oleObject36.bin"/><Relationship Id="rId109" Type="http://schemas.openxmlformats.org/officeDocument/2006/relationships/oleObject" Target="../embeddings/oleObject106.bin"/><Relationship Id="rId260" Type="http://schemas.openxmlformats.org/officeDocument/2006/relationships/oleObject" Target="../embeddings/oleObject257.bin"/><Relationship Id="rId265" Type="http://schemas.openxmlformats.org/officeDocument/2006/relationships/oleObject" Target="../embeddings/oleObject262.bin"/><Relationship Id="rId34" Type="http://schemas.openxmlformats.org/officeDocument/2006/relationships/oleObject" Target="../embeddings/oleObject31.bin"/><Relationship Id="rId50" Type="http://schemas.openxmlformats.org/officeDocument/2006/relationships/oleObject" Target="../embeddings/oleObject47.bin"/><Relationship Id="rId55" Type="http://schemas.openxmlformats.org/officeDocument/2006/relationships/oleObject" Target="../embeddings/oleObject52.bin"/><Relationship Id="rId76" Type="http://schemas.openxmlformats.org/officeDocument/2006/relationships/oleObject" Target="../embeddings/oleObject73.bin"/><Relationship Id="rId97" Type="http://schemas.openxmlformats.org/officeDocument/2006/relationships/oleObject" Target="../embeddings/oleObject94.bin"/><Relationship Id="rId104" Type="http://schemas.openxmlformats.org/officeDocument/2006/relationships/oleObject" Target="../embeddings/oleObject101.bin"/><Relationship Id="rId120" Type="http://schemas.openxmlformats.org/officeDocument/2006/relationships/oleObject" Target="../embeddings/oleObject117.bin"/><Relationship Id="rId125" Type="http://schemas.openxmlformats.org/officeDocument/2006/relationships/oleObject" Target="../embeddings/oleObject122.bin"/><Relationship Id="rId141" Type="http://schemas.openxmlformats.org/officeDocument/2006/relationships/oleObject" Target="../embeddings/oleObject138.bin"/><Relationship Id="rId146" Type="http://schemas.openxmlformats.org/officeDocument/2006/relationships/oleObject" Target="../embeddings/oleObject143.bin"/><Relationship Id="rId167" Type="http://schemas.openxmlformats.org/officeDocument/2006/relationships/oleObject" Target="../embeddings/oleObject164.bin"/><Relationship Id="rId188" Type="http://schemas.openxmlformats.org/officeDocument/2006/relationships/oleObject" Target="../embeddings/oleObject185.bin"/><Relationship Id="rId7" Type="http://schemas.openxmlformats.org/officeDocument/2006/relationships/oleObject" Target="../embeddings/oleObject4.bin"/><Relationship Id="rId71" Type="http://schemas.openxmlformats.org/officeDocument/2006/relationships/oleObject" Target="../embeddings/oleObject68.bin"/><Relationship Id="rId92" Type="http://schemas.openxmlformats.org/officeDocument/2006/relationships/oleObject" Target="../embeddings/oleObject89.bin"/><Relationship Id="rId162" Type="http://schemas.openxmlformats.org/officeDocument/2006/relationships/oleObject" Target="../embeddings/oleObject159.bin"/><Relationship Id="rId183" Type="http://schemas.openxmlformats.org/officeDocument/2006/relationships/oleObject" Target="../embeddings/oleObject180.bin"/><Relationship Id="rId213" Type="http://schemas.openxmlformats.org/officeDocument/2006/relationships/oleObject" Target="../embeddings/oleObject210.bin"/><Relationship Id="rId218" Type="http://schemas.openxmlformats.org/officeDocument/2006/relationships/oleObject" Target="../embeddings/oleObject215.bin"/><Relationship Id="rId234" Type="http://schemas.openxmlformats.org/officeDocument/2006/relationships/oleObject" Target="../embeddings/oleObject231.bin"/><Relationship Id="rId239" Type="http://schemas.openxmlformats.org/officeDocument/2006/relationships/oleObject" Target="../embeddings/oleObject236.bin"/><Relationship Id="rId2" Type="http://schemas.openxmlformats.org/officeDocument/2006/relationships/drawing" Target="../drawings/drawing1.xml"/><Relationship Id="rId29" Type="http://schemas.openxmlformats.org/officeDocument/2006/relationships/oleObject" Target="../embeddings/oleObject26.bin"/><Relationship Id="rId250" Type="http://schemas.openxmlformats.org/officeDocument/2006/relationships/oleObject" Target="../embeddings/oleObject247.bin"/><Relationship Id="rId255" Type="http://schemas.openxmlformats.org/officeDocument/2006/relationships/oleObject" Target="../embeddings/oleObject252.bin"/><Relationship Id="rId24" Type="http://schemas.openxmlformats.org/officeDocument/2006/relationships/oleObject" Target="../embeddings/oleObject21.bin"/><Relationship Id="rId40" Type="http://schemas.openxmlformats.org/officeDocument/2006/relationships/oleObject" Target="../embeddings/oleObject37.bin"/><Relationship Id="rId45" Type="http://schemas.openxmlformats.org/officeDocument/2006/relationships/oleObject" Target="../embeddings/oleObject42.bin"/><Relationship Id="rId66" Type="http://schemas.openxmlformats.org/officeDocument/2006/relationships/oleObject" Target="../embeddings/oleObject63.bin"/><Relationship Id="rId87" Type="http://schemas.openxmlformats.org/officeDocument/2006/relationships/oleObject" Target="../embeddings/oleObject84.bin"/><Relationship Id="rId110" Type="http://schemas.openxmlformats.org/officeDocument/2006/relationships/oleObject" Target="../embeddings/oleObject107.bin"/><Relationship Id="rId115" Type="http://schemas.openxmlformats.org/officeDocument/2006/relationships/oleObject" Target="../embeddings/oleObject112.bin"/><Relationship Id="rId131" Type="http://schemas.openxmlformats.org/officeDocument/2006/relationships/oleObject" Target="../embeddings/oleObject128.bin"/><Relationship Id="rId136" Type="http://schemas.openxmlformats.org/officeDocument/2006/relationships/oleObject" Target="../embeddings/oleObject133.bin"/><Relationship Id="rId157" Type="http://schemas.openxmlformats.org/officeDocument/2006/relationships/oleObject" Target="../embeddings/oleObject154.bin"/><Relationship Id="rId178" Type="http://schemas.openxmlformats.org/officeDocument/2006/relationships/oleObject" Target="../embeddings/oleObject175.bin"/><Relationship Id="rId61" Type="http://schemas.openxmlformats.org/officeDocument/2006/relationships/oleObject" Target="../embeddings/oleObject58.bin"/><Relationship Id="rId82" Type="http://schemas.openxmlformats.org/officeDocument/2006/relationships/oleObject" Target="../embeddings/oleObject79.bin"/><Relationship Id="rId152" Type="http://schemas.openxmlformats.org/officeDocument/2006/relationships/oleObject" Target="../embeddings/oleObject149.bin"/><Relationship Id="rId173" Type="http://schemas.openxmlformats.org/officeDocument/2006/relationships/oleObject" Target="../embeddings/oleObject170.bin"/><Relationship Id="rId194" Type="http://schemas.openxmlformats.org/officeDocument/2006/relationships/oleObject" Target="../embeddings/oleObject191.bin"/><Relationship Id="rId199" Type="http://schemas.openxmlformats.org/officeDocument/2006/relationships/oleObject" Target="../embeddings/oleObject196.bin"/><Relationship Id="rId203" Type="http://schemas.openxmlformats.org/officeDocument/2006/relationships/oleObject" Target="../embeddings/oleObject200.bin"/><Relationship Id="rId208" Type="http://schemas.openxmlformats.org/officeDocument/2006/relationships/oleObject" Target="../embeddings/oleObject205.bin"/><Relationship Id="rId229" Type="http://schemas.openxmlformats.org/officeDocument/2006/relationships/oleObject" Target="../embeddings/oleObject226.bin"/><Relationship Id="rId19" Type="http://schemas.openxmlformats.org/officeDocument/2006/relationships/oleObject" Target="../embeddings/oleObject16.bin"/><Relationship Id="rId224" Type="http://schemas.openxmlformats.org/officeDocument/2006/relationships/oleObject" Target="../embeddings/oleObject221.bin"/><Relationship Id="rId240" Type="http://schemas.openxmlformats.org/officeDocument/2006/relationships/oleObject" Target="../embeddings/oleObject237.bin"/><Relationship Id="rId245" Type="http://schemas.openxmlformats.org/officeDocument/2006/relationships/oleObject" Target="../embeddings/oleObject242.bin"/><Relationship Id="rId261" Type="http://schemas.openxmlformats.org/officeDocument/2006/relationships/oleObject" Target="../embeddings/oleObject258.bin"/><Relationship Id="rId266" Type="http://schemas.openxmlformats.org/officeDocument/2006/relationships/oleObject" Target="../embeddings/oleObject263.bin"/><Relationship Id="rId14" Type="http://schemas.openxmlformats.org/officeDocument/2006/relationships/oleObject" Target="../embeddings/oleObject11.bin"/><Relationship Id="rId30" Type="http://schemas.openxmlformats.org/officeDocument/2006/relationships/oleObject" Target="../embeddings/oleObject27.bin"/><Relationship Id="rId35" Type="http://schemas.openxmlformats.org/officeDocument/2006/relationships/oleObject" Target="../embeddings/oleObject32.bin"/><Relationship Id="rId56" Type="http://schemas.openxmlformats.org/officeDocument/2006/relationships/oleObject" Target="../embeddings/oleObject53.bin"/><Relationship Id="rId77" Type="http://schemas.openxmlformats.org/officeDocument/2006/relationships/oleObject" Target="../embeddings/oleObject74.bin"/><Relationship Id="rId100" Type="http://schemas.openxmlformats.org/officeDocument/2006/relationships/oleObject" Target="../embeddings/oleObject97.bin"/><Relationship Id="rId105" Type="http://schemas.openxmlformats.org/officeDocument/2006/relationships/oleObject" Target="../embeddings/oleObject102.bin"/><Relationship Id="rId126" Type="http://schemas.openxmlformats.org/officeDocument/2006/relationships/oleObject" Target="../embeddings/oleObject123.bin"/><Relationship Id="rId147" Type="http://schemas.openxmlformats.org/officeDocument/2006/relationships/oleObject" Target="../embeddings/oleObject144.bin"/><Relationship Id="rId168" Type="http://schemas.openxmlformats.org/officeDocument/2006/relationships/oleObject" Target="../embeddings/oleObject165.bin"/><Relationship Id="rId8" Type="http://schemas.openxmlformats.org/officeDocument/2006/relationships/oleObject" Target="../embeddings/oleObject5.bin"/><Relationship Id="rId51" Type="http://schemas.openxmlformats.org/officeDocument/2006/relationships/oleObject" Target="../embeddings/oleObject48.bin"/><Relationship Id="rId72" Type="http://schemas.openxmlformats.org/officeDocument/2006/relationships/oleObject" Target="../embeddings/oleObject69.bin"/><Relationship Id="rId93" Type="http://schemas.openxmlformats.org/officeDocument/2006/relationships/oleObject" Target="../embeddings/oleObject90.bin"/><Relationship Id="rId98" Type="http://schemas.openxmlformats.org/officeDocument/2006/relationships/oleObject" Target="../embeddings/oleObject95.bin"/><Relationship Id="rId121" Type="http://schemas.openxmlformats.org/officeDocument/2006/relationships/oleObject" Target="../embeddings/oleObject118.bin"/><Relationship Id="rId142" Type="http://schemas.openxmlformats.org/officeDocument/2006/relationships/oleObject" Target="../embeddings/oleObject139.bin"/><Relationship Id="rId163" Type="http://schemas.openxmlformats.org/officeDocument/2006/relationships/oleObject" Target="../embeddings/oleObject160.bin"/><Relationship Id="rId184" Type="http://schemas.openxmlformats.org/officeDocument/2006/relationships/oleObject" Target="../embeddings/oleObject181.bin"/><Relationship Id="rId189" Type="http://schemas.openxmlformats.org/officeDocument/2006/relationships/oleObject" Target="../embeddings/oleObject186.bin"/><Relationship Id="rId219" Type="http://schemas.openxmlformats.org/officeDocument/2006/relationships/oleObject" Target="../embeddings/oleObject216.bin"/><Relationship Id="rId3" Type="http://schemas.openxmlformats.org/officeDocument/2006/relationships/vmlDrawing" Target="../drawings/vmlDrawing1.vml"/><Relationship Id="rId214" Type="http://schemas.openxmlformats.org/officeDocument/2006/relationships/oleObject" Target="../embeddings/oleObject211.bin"/><Relationship Id="rId230" Type="http://schemas.openxmlformats.org/officeDocument/2006/relationships/oleObject" Target="../embeddings/oleObject227.bin"/><Relationship Id="rId235" Type="http://schemas.openxmlformats.org/officeDocument/2006/relationships/oleObject" Target="../embeddings/oleObject232.bin"/><Relationship Id="rId251" Type="http://schemas.openxmlformats.org/officeDocument/2006/relationships/oleObject" Target="../embeddings/oleObject248.bin"/><Relationship Id="rId256" Type="http://schemas.openxmlformats.org/officeDocument/2006/relationships/oleObject" Target="../embeddings/oleObject253.bin"/><Relationship Id="rId25" Type="http://schemas.openxmlformats.org/officeDocument/2006/relationships/oleObject" Target="../embeddings/oleObject22.bin"/><Relationship Id="rId46" Type="http://schemas.openxmlformats.org/officeDocument/2006/relationships/oleObject" Target="../embeddings/oleObject43.bin"/><Relationship Id="rId67" Type="http://schemas.openxmlformats.org/officeDocument/2006/relationships/oleObject" Target="../embeddings/oleObject64.bin"/><Relationship Id="rId116" Type="http://schemas.openxmlformats.org/officeDocument/2006/relationships/oleObject" Target="../embeddings/oleObject113.bin"/><Relationship Id="rId137" Type="http://schemas.openxmlformats.org/officeDocument/2006/relationships/oleObject" Target="../embeddings/oleObject134.bin"/><Relationship Id="rId158" Type="http://schemas.openxmlformats.org/officeDocument/2006/relationships/oleObject" Target="../embeddings/oleObject155.bin"/><Relationship Id="rId20" Type="http://schemas.openxmlformats.org/officeDocument/2006/relationships/oleObject" Target="../embeddings/oleObject17.bin"/><Relationship Id="rId41" Type="http://schemas.openxmlformats.org/officeDocument/2006/relationships/oleObject" Target="../embeddings/oleObject38.bin"/><Relationship Id="rId62" Type="http://schemas.openxmlformats.org/officeDocument/2006/relationships/oleObject" Target="../embeddings/oleObject59.bin"/><Relationship Id="rId83" Type="http://schemas.openxmlformats.org/officeDocument/2006/relationships/oleObject" Target="../embeddings/oleObject80.bin"/><Relationship Id="rId88" Type="http://schemas.openxmlformats.org/officeDocument/2006/relationships/oleObject" Target="../embeddings/oleObject85.bin"/><Relationship Id="rId111" Type="http://schemas.openxmlformats.org/officeDocument/2006/relationships/oleObject" Target="../embeddings/oleObject108.bin"/><Relationship Id="rId132" Type="http://schemas.openxmlformats.org/officeDocument/2006/relationships/oleObject" Target="../embeddings/oleObject129.bin"/><Relationship Id="rId153" Type="http://schemas.openxmlformats.org/officeDocument/2006/relationships/oleObject" Target="../embeddings/oleObject150.bin"/><Relationship Id="rId174" Type="http://schemas.openxmlformats.org/officeDocument/2006/relationships/oleObject" Target="../embeddings/oleObject171.bin"/><Relationship Id="rId179" Type="http://schemas.openxmlformats.org/officeDocument/2006/relationships/oleObject" Target="../embeddings/oleObject176.bin"/><Relationship Id="rId195" Type="http://schemas.openxmlformats.org/officeDocument/2006/relationships/oleObject" Target="../embeddings/oleObject192.bin"/><Relationship Id="rId209" Type="http://schemas.openxmlformats.org/officeDocument/2006/relationships/oleObject" Target="../embeddings/oleObject206.bin"/><Relationship Id="rId190" Type="http://schemas.openxmlformats.org/officeDocument/2006/relationships/oleObject" Target="../embeddings/oleObject187.bin"/><Relationship Id="rId204" Type="http://schemas.openxmlformats.org/officeDocument/2006/relationships/oleObject" Target="../embeddings/oleObject201.bin"/><Relationship Id="rId220" Type="http://schemas.openxmlformats.org/officeDocument/2006/relationships/oleObject" Target="../embeddings/oleObject217.bin"/><Relationship Id="rId225" Type="http://schemas.openxmlformats.org/officeDocument/2006/relationships/oleObject" Target="../embeddings/oleObject222.bin"/><Relationship Id="rId241" Type="http://schemas.openxmlformats.org/officeDocument/2006/relationships/oleObject" Target="../embeddings/oleObject238.bin"/><Relationship Id="rId246" Type="http://schemas.openxmlformats.org/officeDocument/2006/relationships/oleObject" Target="../embeddings/oleObject243.bin"/><Relationship Id="rId267" Type="http://schemas.openxmlformats.org/officeDocument/2006/relationships/oleObject" Target="../embeddings/oleObject264.bin"/><Relationship Id="rId15" Type="http://schemas.openxmlformats.org/officeDocument/2006/relationships/oleObject" Target="../embeddings/oleObject12.bin"/><Relationship Id="rId36" Type="http://schemas.openxmlformats.org/officeDocument/2006/relationships/oleObject" Target="../embeddings/oleObject33.bin"/><Relationship Id="rId57" Type="http://schemas.openxmlformats.org/officeDocument/2006/relationships/oleObject" Target="../embeddings/oleObject54.bin"/><Relationship Id="rId106" Type="http://schemas.openxmlformats.org/officeDocument/2006/relationships/oleObject" Target="../embeddings/oleObject103.bin"/><Relationship Id="rId127" Type="http://schemas.openxmlformats.org/officeDocument/2006/relationships/oleObject" Target="../embeddings/oleObject124.bin"/><Relationship Id="rId262" Type="http://schemas.openxmlformats.org/officeDocument/2006/relationships/oleObject" Target="../embeddings/oleObject259.bin"/><Relationship Id="rId10" Type="http://schemas.openxmlformats.org/officeDocument/2006/relationships/oleObject" Target="../embeddings/oleObject7.bin"/><Relationship Id="rId31" Type="http://schemas.openxmlformats.org/officeDocument/2006/relationships/oleObject" Target="../embeddings/oleObject28.bin"/><Relationship Id="rId52" Type="http://schemas.openxmlformats.org/officeDocument/2006/relationships/oleObject" Target="../embeddings/oleObject49.bin"/><Relationship Id="rId73" Type="http://schemas.openxmlformats.org/officeDocument/2006/relationships/oleObject" Target="../embeddings/oleObject70.bin"/><Relationship Id="rId78" Type="http://schemas.openxmlformats.org/officeDocument/2006/relationships/oleObject" Target="../embeddings/oleObject75.bin"/><Relationship Id="rId94" Type="http://schemas.openxmlformats.org/officeDocument/2006/relationships/oleObject" Target="../embeddings/oleObject91.bin"/><Relationship Id="rId99" Type="http://schemas.openxmlformats.org/officeDocument/2006/relationships/oleObject" Target="../embeddings/oleObject96.bin"/><Relationship Id="rId101" Type="http://schemas.openxmlformats.org/officeDocument/2006/relationships/oleObject" Target="../embeddings/oleObject98.bin"/><Relationship Id="rId122" Type="http://schemas.openxmlformats.org/officeDocument/2006/relationships/oleObject" Target="../embeddings/oleObject119.bin"/><Relationship Id="rId143" Type="http://schemas.openxmlformats.org/officeDocument/2006/relationships/oleObject" Target="../embeddings/oleObject140.bin"/><Relationship Id="rId148" Type="http://schemas.openxmlformats.org/officeDocument/2006/relationships/oleObject" Target="../embeddings/oleObject145.bin"/><Relationship Id="rId164" Type="http://schemas.openxmlformats.org/officeDocument/2006/relationships/oleObject" Target="../embeddings/oleObject161.bin"/><Relationship Id="rId169" Type="http://schemas.openxmlformats.org/officeDocument/2006/relationships/oleObject" Target="../embeddings/oleObject166.bin"/><Relationship Id="rId185" Type="http://schemas.openxmlformats.org/officeDocument/2006/relationships/oleObject" Target="../embeddings/oleObject182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6.bin"/><Relationship Id="rId180" Type="http://schemas.openxmlformats.org/officeDocument/2006/relationships/oleObject" Target="../embeddings/oleObject177.bin"/><Relationship Id="rId210" Type="http://schemas.openxmlformats.org/officeDocument/2006/relationships/oleObject" Target="../embeddings/oleObject207.bin"/><Relationship Id="rId215" Type="http://schemas.openxmlformats.org/officeDocument/2006/relationships/oleObject" Target="../embeddings/oleObject212.bin"/><Relationship Id="rId236" Type="http://schemas.openxmlformats.org/officeDocument/2006/relationships/oleObject" Target="../embeddings/oleObject233.bin"/><Relationship Id="rId257" Type="http://schemas.openxmlformats.org/officeDocument/2006/relationships/oleObject" Target="../embeddings/oleObject254.bin"/><Relationship Id="rId26" Type="http://schemas.openxmlformats.org/officeDocument/2006/relationships/oleObject" Target="../embeddings/oleObject23.bin"/><Relationship Id="rId231" Type="http://schemas.openxmlformats.org/officeDocument/2006/relationships/oleObject" Target="../embeddings/oleObject228.bin"/><Relationship Id="rId252" Type="http://schemas.openxmlformats.org/officeDocument/2006/relationships/oleObject" Target="../embeddings/oleObject249.bin"/><Relationship Id="rId47" Type="http://schemas.openxmlformats.org/officeDocument/2006/relationships/oleObject" Target="../embeddings/oleObject44.bin"/><Relationship Id="rId68" Type="http://schemas.openxmlformats.org/officeDocument/2006/relationships/oleObject" Target="../embeddings/oleObject65.bin"/><Relationship Id="rId89" Type="http://schemas.openxmlformats.org/officeDocument/2006/relationships/oleObject" Target="../embeddings/oleObject86.bin"/><Relationship Id="rId112" Type="http://schemas.openxmlformats.org/officeDocument/2006/relationships/oleObject" Target="../embeddings/oleObject109.bin"/><Relationship Id="rId133" Type="http://schemas.openxmlformats.org/officeDocument/2006/relationships/oleObject" Target="../embeddings/oleObject130.bin"/><Relationship Id="rId154" Type="http://schemas.openxmlformats.org/officeDocument/2006/relationships/oleObject" Target="../embeddings/oleObject151.bin"/><Relationship Id="rId175" Type="http://schemas.openxmlformats.org/officeDocument/2006/relationships/oleObject" Target="../embeddings/oleObject172.bin"/><Relationship Id="rId196" Type="http://schemas.openxmlformats.org/officeDocument/2006/relationships/oleObject" Target="../embeddings/oleObject193.bin"/><Relationship Id="rId200" Type="http://schemas.openxmlformats.org/officeDocument/2006/relationships/oleObject" Target="../embeddings/oleObject197.bin"/><Relationship Id="rId16" Type="http://schemas.openxmlformats.org/officeDocument/2006/relationships/oleObject" Target="../embeddings/oleObject13.bin"/><Relationship Id="rId221" Type="http://schemas.openxmlformats.org/officeDocument/2006/relationships/oleObject" Target="../embeddings/oleObject218.bin"/><Relationship Id="rId242" Type="http://schemas.openxmlformats.org/officeDocument/2006/relationships/oleObject" Target="../embeddings/oleObject239.bin"/><Relationship Id="rId263" Type="http://schemas.openxmlformats.org/officeDocument/2006/relationships/oleObject" Target="../embeddings/oleObject260.bin"/><Relationship Id="rId37" Type="http://schemas.openxmlformats.org/officeDocument/2006/relationships/oleObject" Target="../embeddings/oleObject34.bin"/><Relationship Id="rId58" Type="http://schemas.openxmlformats.org/officeDocument/2006/relationships/oleObject" Target="../embeddings/oleObject55.bin"/><Relationship Id="rId79" Type="http://schemas.openxmlformats.org/officeDocument/2006/relationships/oleObject" Target="../embeddings/oleObject76.bin"/><Relationship Id="rId102" Type="http://schemas.openxmlformats.org/officeDocument/2006/relationships/oleObject" Target="../embeddings/oleObject99.bin"/><Relationship Id="rId123" Type="http://schemas.openxmlformats.org/officeDocument/2006/relationships/oleObject" Target="../embeddings/oleObject120.bin"/><Relationship Id="rId144" Type="http://schemas.openxmlformats.org/officeDocument/2006/relationships/oleObject" Target="../embeddings/oleObject141.bin"/><Relationship Id="rId90" Type="http://schemas.openxmlformats.org/officeDocument/2006/relationships/oleObject" Target="../embeddings/oleObject87.bin"/><Relationship Id="rId165" Type="http://schemas.openxmlformats.org/officeDocument/2006/relationships/oleObject" Target="../embeddings/oleObject162.bin"/><Relationship Id="rId186" Type="http://schemas.openxmlformats.org/officeDocument/2006/relationships/oleObject" Target="../embeddings/oleObject183.bin"/><Relationship Id="rId211" Type="http://schemas.openxmlformats.org/officeDocument/2006/relationships/oleObject" Target="../embeddings/oleObject208.bin"/><Relationship Id="rId232" Type="http://schemas.openxmlformats.org/officeDocument/2006/relationships/oleObject" Target="../embeddings/oleObject229.bin"/><Relationship Id="rId253" Type="http://schemas.openxmlformats.org/officeDocument/2006/relationships/oleObject" Target="../embeddings/oleObject250.bin"/><Relationship Id="rId27" Type="http://schemas.openxmlformats.org/officeDocument/2006/relationships/oleObject" Target="../embeddings/oleObject24.bin"/><Relationship Id="rId48" Type="http://schemas.openxmlformats.org/officeDocument/2006/relationships/oleObject" Target="../embeddings/oleObject45.bin"/><Relationship Id="rId69" Type="http://schemas.openxmlformats.org/officeDocument/2006/relationships/oleObject" Target="../embeddings/oleObject66.bin"/><Relationship Id="rId113" Type="http://schemas.openxmlformats.org/officeDocument/2006/relationships/oleObject" Target="../embeddings/oleObject110.bin"/><Relationship Id="rId134" Type="http://schemas.openxmlformats.org/officeDocument/2006/relationships/oleObject" Target="../embeddings/oleObject131.bin"/><Relationship Id="rId80" Type="http://schemas.openxmlformats.org/officeDocument/2006/relationships/oleObject" Target="../embeddings/oleObject77.bin"/><Relationship Id="rId155" Type="http://schemas.openxmlformats.org/officeDocument/2006/relationships/oleObject" Target="../embeddings/oleObject152.bin"/><Relationship Id="rId176" Type="http://schemas.openxmlformats.org/officeDocument/2006/relationships/oleObject" Target="../embeddings/oleObject173.bin"/><Relationship Id="rId197" Type="http://schemas.openxmlformats.org/officeDocument/2006/relationships/oleObject" Target="../embeddings/oleObject194.bin"/><Relationship Id="rId201" Type="http://schemas.openxmlformats.org/officeDocument/2006/relationships/oleObject" Target="../embeddings/oleObject198.bin"/><Relationship Id="rId222" Type="http://schemas.openxmlformats.org/officeDocument/2006/relationships/oleObject" Target="../embeddings/oleObject219.bin"/><Relationship Id="rId243" Type="http://schemas.openxmlformats.org/officeDocument/2006/relationships/oleObject" Target="../embeddings/oleObject240.bin"/><Relationship Id="rId264" Type="http://schemas.openxmlformats.org/officeDocument/2006/relationships/oleObject" Target="../embeddings/oleObject261.bin"/><Relationship Id="rId17" Type="http://schemas.openxmlformats.org/officeDocument/2006/relationships/oleObject" Target="../embeddings/oleObject14.bin"/><Relationship Id="rId38" Type="http://schemas.openxmlformats.org/officeDocument/2006/relationships/oleObject" Target="../embeddings/oleObject35.bin"/><Relationship Id="rId59" Type="http://schemas.openxmlformats.org/officeDocument/2006/relationships/oleObject" Target="../embeddings/oleObject56.bin"/><Relationship Id="rId103" Type="http://schemas.openxmlformats.org/officeDocument/2006/relationships/oleObject" Target="../embeddings/oleObject100.bin"/><Relationship Id="rId124" Type="http://schemas.openxmlformats.org/officeDocument/2006/relationships/oleObject" Target="../embeddings/oleObject121.bin"/><Relationship Id="rId70" Type="http://schemas.openxmlformats.org/officeDocument/2006/relationships/oleObject" Target="../embeddings/oleObject67.bin"/><Relationship Id="rId91" Type="http://schemas.openxmlformats.org/officeDocument/2006/relationships/oleObject" Target="../embeddings/oleObject88.bin"/><Relationship Id="rId145" Type="http://schemas.openxmlformats.org/officeDocument/2006/relationships/oleObject" Target="../embeddings/oleObject142.bin"/><Relationship Id="rId166" Type="http://schemas.openxmlformats.org/officeDocument/2006/relationships/oleObject" Target="../embeddings/oleObject163.bin"/><Relationship Id="rId187" Type="http://schemas.openxmlformats.org/officeDocument/2006/relationships/oleObject" Target="../embeddings/oleObject184.bin"/><Relationship Id="rId1" Type="http://schemas.openxmlformats.org/officeDocument/2006/relationships/printerSettings" Target="../printerSettings/printerSettings1.bin"/><Relationship Id="rId212" Type="http://schemas.openxmlformats.org/officeDocument/2006/relationships/oleObject" Target="../embeddings/oleObject209.bin"/><Relationship Id="rId233" Type="http://schemas.openxmlformats.org/officeDocument/2006/relationships/oleObject" Target="../embeddings/oleObject230.bin"/><Relationship Id="rId254" Type="http://schemas.openxmlformats.org/officeDocument/2006/relationships/oleObject" Target="../embeddings/oleObject25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3" Type="http://schemas.openxmlformats.org/officeDocument/2006/relationships/oleObject" Target="../embeddings/oleObject275.bin"/><Relationship Id="rId18" Type="http://schemas.openxmlformats.org/officeDocument/2006/relationships/oleObject" Target="../embeddings/oleObject280.bin"/><Relationship Id="rId26" Type="http://schemas.openxmlformats.org/officeDocument/2006/relationships/oleObject" Target="../embeddings/oleObject288.bin"/><Relationship Id="rId39" Type="http://schemas.openxmlformats.org/officeDocument/2006/relationships/oleObject" Target="../embeddings/oleObject301.bin"/><Relationship Id="rId21" Type="http://schemas.openxmlformats.org/officeDocument/2006/relationships/oleObject" Target="../embeddings/oleObject283.bin"/><Relationship Id="rId34" Type="http://schemas.openxmlformats.org/officeDocument/2006/relationships/oleObject" Target="../embeddings/oleObject296.bin"/><Relationship Id="rId42" Type="http://schemas.openxmlformats.org/officeDocument/2006/relationships/oleObject" Target="../embeddings/oleObject304.bin"/><Relationship Id="rId47" Type="http://schemas.openxmlformats.org/officeDocument/2006/relationships/oleObject" Target="../embeddings/oleObject309.bin"/><Relationship Id="rId50" Type="http://schemas.openxmlformats.org/officeDocument/2006/relationships/oleObject" Target="../embeddings/oleObject312.bin"/><Relationship Id="rId55" Type="http://schemas.openxmlformats.org/officeDocument/2006/relationships/oleObject" Target="../embeddings/oleObject317.bin"/><Relationship Id="rId7" Type="http://schemas.openxmlformats.org/officeDocument/2006/relationships/oleObject" Target="../embeddings/oleObject269.bin"/><Relationship Id="rId12" Type="http://schemas.openxmlformats.org/officeDocument/2006/relationships/oleObject" Target="../embeddings/oleObject274.bin"/><Relationship Id="rId17" Type="http://schemas.openxmlformats.org/officeDocument/2006/relationships/oleObject" Target="../embeddings/oleObject279.bin"/><Relationship Id="rId25" Type="http://schemas.openxmlformats.org/officeDocument/2006/relationships/oleObject" Target="../embeddings/oleObject287.bin"/><Relationship Id="rId33" Type="http://schemas.openxmlformats.org/officeDocument/2006/relationships/oleObject" Target="../embeddings/oleObject295.bin"/><Relationship Id="rId38" Type="http://schemas.openxmlformats.org/officeDocument/2006/relationships/oleObject" Target="../embeddings/oleObject300.bin"/><Relationship Id="rId46" Type="http://schemas.openxmlformats.org/officeDocument/2006/relationships/oleObject" Target="../embeddings/oleObject308.bin"/><Relationship Id="rId2" Type="http://schemas.openxmlformats.org/officeDocument/2006/relationships/drawing" Target="../drawings/drawing3.xml"/><Relationship Id="rId16" Type="http://schemas.openxmlformats.org/officeDocument/2006/relationships/oleObject" Target="../embeddings/oleObject278.bin"/><Relationship Id="rId20" Type="http://schemas.openxmlformats.org/officeDocument/2006/relationships/oleObject" Target="../embeddings/oleObject282.bin"/><Relationship Id="rId29" Type="http://schemas.openxmlformats.org/officeDocument/2006/relationships/oleObject" Target="../embeddings/oleObject291.bin"/><Relationship Id="rId41" Type="http://schemas.openxmlformats.org/officeDocument/2006/relationships/oleObject" Target="../embeddings/oleObject303.bin"/><Relationship Id="rId54" Type="http://schemas.openxmlformats.org/officeDocument/2006/relationships/oleObject" Target="../embeddings/oleObject316.bin"/><Relationship Id="rId1" Type="http://schemas.openxmlformats.org/officeDocument/2006/relationships/printerSettings" Target="../printerSettings/printerSettings3.bin"/><Relationship Id="rId6" Type="http://schemas.openxmlformats.org/officeDocument/2006/relationships/oleObject" Target="../embeddings/oleObject268.bin"/><Relationship Id="rId11" Type="http://schemas.openxmlformats.org/officeDocument/2006/relationships/oleObject" Target="../embeddings/oleObject273.bin"/><Relationship Id="rId24" Type="http://schemas.openxmlformats.org/officeDocument/2006/relationships/oleObject" Target="../embeddings/oleObject286.bin"/><Relationship Id="rId32" Type="http://schemas.openxmlformats.org/officeDocument/2006/relationships/oleObject" Target="../embeddings/oleObject294.bin"/><Relationship Id="rId37" Type="http://schemas.openxmlformats.org/officeDocument/2006/relationships/oleObject" Target="../embeddings/oleObject299.bin"/><Relationship Id="rId40" Type="http://schemas.openxmlformats.org/officeDocument/2006/relationships/oleObject" Target="../embeddings/oleObject302.bin"/><Relationship Id="rId45" Type="http://schemas.openxmlformats.org/officeDocument/2006/relationships/oleObject" Target="../embeddings/oleObject307.bin"/><Relationship Id="rId53" Type="http://schemas.openxmlformats.org/officeDocument/2006/relationships/oleObject" Target="../embeddings/oleObject315.bin"/><Relationship Id="rId5" Type="http://schemas.openxmlformats.org/officeDocument/2006/relationships/oleObject" Target="../embeddings/oleObject267.bin"/><Relationship Id="rId15" Type="http://schemas.openxmlformats.org/officeDocument/2006/relationships/oleObject" Target="../embeddings/oleObject277.bin"/><Relationship Id="rId23" Type="http://schemas.openxmlformats.org/officeDocument/2006/relationships/oleObject" Target="../embeddings/oleObject285.bin"/><Relationship Id="rId28" Type="http://schemas.openxmlformats.org/officeDocument/2006/relationships/oleObject" Target="../embeddings/oleObject290.bin"/><Relationship Id="rId36" Type="http://schemas.openxmlformats.org/officeDocument/2006/relationships/oleObject" Target="../embeddings/oleObject298.bin"/><Relationship Id="rId49" Type="http://schemas.openxmlformats.org/officeDocument/2006/relationships/oleObject" Target="../embeddings/oleObject311.bin"/><Relationship Id="rId57" Type="http://schemas.openxmlformats.org/officeDocument/2006/relationships/oleObject" Target="../embeddings/oleObject319.bin"/><Relationship Id="rId10" Type="http://schemas.openxmlformats.org/officeDocument/2006/relationships/oleObject" Target="../embeddings/oleObject272.bin"/><Relationship Id="rId19" Type="http://schemas.openxmlformats.org/officeDocument/2006/relationships/oleObject" Target="../embeddings/oleObject281.bin"/><Relationship Id="rId31" Type="http://schemas.openxmlformats.org/officeDocument/2006/relationships/oleObject" Target="../embeddings/oleObject293.bin"/><Relationship Id="rId44" Type="http://schemas.openxmlformats.org/officeDocument/2006/relationships/oleObject" Target="../embeddings/oleObject306.bin"/><Relationship Id="rId52" Type="http://schemas.openxmlformats.org/officeDocument/2006/relationships/oleObject" Target="../embeddings/oleObject314.bin"/><Relationship Id="rId4" Type="http://schemas.openxmlformats.org/officeDocument/2006/relationships/oleObject" Target="../embeddings/oleObject266.bin"/><Relationship Id="rId9" Type="http://schemas.openxmlformats.org/officeDocument/2006/relationships/oleObject" Target="../embeddings/oleObject271.bin"/><Relationship Id="rId14" Type="http://schemas.openxmlformats.org/officeDocument/2006/relationships/oleObject" Target="../embeddings/oleObject276.bin"/><Relationship Id="rId22" Type="http://schemas.openxmlformats.org/officeDocument/2006/relationships/oleObject" Target="../embeddings/oleObject284.bin"/><Relationship Id="rId27" Type="http://schemas.openxmlformats.org/officeDocument/2006/relationships/oleObject" Target="../embeddings/oleObject289.bin"/><Relationship Id="rId30" Type="http://schemas.openxmlformats.org/officeDocument/2006/relationships/oleObject" Target="../embeddings/oleObject292.bin"/><Relationship Id="rId35" Type="http://schemas.openxmlformats.org/officeDocument/2006/relationships/oleObject" Target="../embeddings/oleObject297.bin"/><Relationship Id="rId43" Type="http://schemas.openxmlformats.org/officeDocument/2006/relationships/oleObject" Target="../embeddings/oleObject305.bin"/><Relationship Id="rId48" Type="http://schemas.openxmlformats.org/officeDocument/2006/relationships/oleObject" Target="../embeddings/oleObject310.bin"/><Relationship Id="rId56" Type="http://schemas.openxmlformats.org/officeDocument/2006/relationships/oleObject" Target="../embeddings/oleObject318.bin"/><Relationship Id="rId8" Type="http://schemas.openxmlformats.org/officeDocument/2006/relationships/oleObject" Target="../embeddings/oleObject270.bin"/><Relationship Id="rId51" Type="http://schemas.openxmlformats.org/officeDocument/2006/relationships/oleObject" Target="../embeddings/oleObject313.bin"/><Relationship Id="rId3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Relationship Id="rId5" Type="http://schemas.openxmlformats.org/officeDocument/2006/relationships/oleObject" Target="../embeddings/oleObject321.bin"/><Relationship Id="rId4" Type="http://schemas.openxmlformats.org/officeDocument/2006/relationships/oleObject" Target="../embeddings/oleObject320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V461"/>
  <sheetViews>
    <sheetView tabSelected="1" topLeftCell="A322" zoomScale="55" zoomScaleNormal="55" workbookViewId="0">
      <selection activeCell="G324" sqref="G324"/>
    </sheetView>
  </sheetViews>
  <sheetFormatPr defaultRowHeight="20.25"/>
  <cols>
    <col min="1" max="1" width="9.140625" style="2"/>
    <col min="2" max="2" width="15.7109375" style="8" customWidth="1"/>
    <col min="3" max="3" width="138" style="13" bestFit="1" customWidth="1"/>
    <col min="4" max="4" width="35.140625" style="4" bestFit="1" customWidth="1"/>
    <col min="5" max="5" width="18.5703125" style="4" customWidth="1"/>
    <col min="6" max="6" width="49.7109375" style="2" customWidth="1"/>
    <col min="7" max="7" width="70.28515625" style="2" customWidth="1"/>
    <col min="8" max="8" width="111" style="13" bestFit="1" customWidth="1"/>
    <col min="9" max="9" width="27.42578125" style="4" bestFit="1" customWidth="1"/>
    <col min="10" max="10" width="17" style="4" customWidth="1"/>
    <col min="11" max="11" width="11" style="2" customWidth="1"/>
    <col min="12" max="13" width="9.140625" style="2"/>
    <col min="14" max="14" width="48.5703125" style="2" customWidth="1"/>
    <col min="15" max="15" width="12.42578125" style="2" bestFit="1" customWidth="1"/>
    <col min="16" max="16" width="9.28515625" style="2" customWidth="1"/>
    <col min="17" max="19" width="9.140625" style="2"/>
    <col min="20" max="20" width="27.5703125" style="2" customWidth="1"/>
    <col min="21" max="16384" width="9.140625" style="2"/>
  </cols>
  <sheetData>
    <row r="2" spans="2:16">
      <c r="C2" s="11" t="s">
        <v>0</v>
      </c>
    </row>
    <row r="4" spans="2:16">
      <c r="C4" s="12" t="s">
        <v>1</v>
      </c>
      <c r="D4" s="5">
        <v>22000</v>
      </c>
      <c r="E4" s="7" t="s">
        <v>4</v>
      </c>
    </row>
    <row r="5" spans="2:16">
      <c r="C5" s="12" t="s">
        <v>3</v>
      </c>
      <c r="D5" s="5">
        <v>3000</v>
      </c>
      <c r="E5" s="7" t="s">
        <v>5</v>
      </c>
    </row>
    <row r="6" spans="2:16">
      <c r="C6" s="12" t="s">
        <v>2</v>
      </c>
      <c r="D6" s="5">
        <v>380</v>
      </c>
      <c r="E6" s="7" t="s">
        <v>6</v>
      </c>
    </row>
    <row r="7" spans="2:16">
      <c r="C7" s="11" t="s">
        <v>19</v>
      </c>
      <c r="D7" s="7">
        <v>50</v>
      </c>
      <c r="E7" s="7" t="s">
        <v>20</v>
      </c>
    </row>
    <row r="9" spans="2:16" ht="113.25" customHeight="1"/>
    <row r="11" spans="2:16" ht="74.25" customHeight="1">
      <c r="B11" s="9" t="s">
        <v>7</v>
      </c>
      <c r="C11" s="11" t="s">
        <v>16</v>
      </c>
      <c r="D11" s="7">
        <f>(60*D7)/D5</f>
        <v>1</v>
      </c>
      <c r="E11" s="7"/>
    </row>
    <row r="12" spans="2:16" ht="60.75" customHeight="1">
      <c r="B12" s="9"/>
      <c r="C12" s="11" t="s">
        <v>18</v>
      </c>
      <c r="D12" s="7">
        <f>2*D11</f>
        <v>2</v>
      </c>
      <c r="E12" s="7"/>
      <c r="J12" s="13"/>
      <c r="K12" s="13"/>
      <c r="L12" s="13"/>
    </row>
    <row r="13" spans="2:16" ht="56.25" customHeight="1">
      <c r="B13" s="9" t="s">
        <v>8</v>
      </c>
      <c r="C13" s="12" t="s">
        <v>17</v>
      </c>
      <c r="D13" s="5">
        <v>0.27200000000000002</v>
      </c>
      <c r="E13" s="7" t="s">
        <v>28</v>
      </c>
      <c r="J13" s="13"/>
      <c r="K13" s="13"/>
      <c r="L13" s="13"/>
    </row>
    <row r="14" spans="2:16" ht="140.25" customHeight="1">
      <c r="B14" s="9"/>
      <c r="C14" s="12" t="s">
        <v>639</v>
      </c>
      <c r="D14" s="5">
        <v>0.16</v>
      </c>
      <c r="E14" s="7" t="s">
        <v>28</v>
      </c>
      <c r="J14" s="13"/>
      <c r="K14" s="13"/>
      <c r="L14" s="13"/>
    </row>
    <row r="15" spans="2:16" ht="61.5" customHeight="1">
      <c r="B15" s="9"/>
      <c r="C15" s="12" t="s">
        <v>23</v>
      </c>
      <c r="D15" s="5">
        <v>0.54500000000000004</v>
      </c>
      <c r="E15" s="7"/>
      <c r="J15" s="13"/>
      <c r="K15" s="13"/>
      <c r="L15" s="13"/>
    </row>
    <row r="16" spans="2:16" ht="308.25" customHeight="1">
      <c r="B16" s="9"/>
      <c r="C16" s="11"/>
      <c r="D16" s="7"/>
      <c r="E16" s="7"/>
      <c r="J16" s="13"/>
      <c r="K16" s="13"/>
      <c r="L16" s="13"/>
      <c r="N16" s="3"/>
      <c r="O16" s="3"/>
      <c r="P16" s="3"/>
    </row>
    <row r="17" spans="2:22" ht="143.25" customHeight="1">
      <c r="B17" s="9"/>
      <c r="C17" s="11"/>
      <c r="D17" s="7"/>
      <c r="E17" s="7"/>
      <c r="J17" s="13"/>
      <c r="K17" s="13"/>
      <c r="L17" s="13"/>
      <c r="N17" s="3"/>
      <c r="O17" s="3"/>
      <c r="P17" s="3"/>
    </row>
    <row r="18" spans="2:22" ht="376.5" customHeight="1">
      <c r="B18" s="9"/>
      <c r="C18" s="11"/>
      <c r="D18" s="7"/>
      <c r="E18" s="7"/>
    </row>
    <row r="19" spans="2:22" ht="56.25" customHeight="1">
      <c r="B19" s="9" t="s">
        <v>9</v>
      </c>
      <c r="C19" s="11" t="s">
        <v>21</v>
      </c>
      <c r="D19" s="7">
        <f>D15*D13</f>
        <v>0.14824000000000001</v>
      </c>
      <c r="E19" s="7" t="s">
        <v>28</v>
      </c>
    </row>
    <row r="20" spans="2:22" ht="93" customHeight="1">
      <c r="B20" s="9" t="s">
        <v>10</v>
      </c>
      <c r="C20" s="11" t="s">
        <v>24</v>
      </c>
      <c r="D20" s="7">
        <f>(3.14*D19)/D12</f>
        <v>0.23273680000000002</v>
      </c>
      <c r="E20" s="7" t="s">
        <v>28</v>
      </c>
    </row>
    <row r="21" spans="2:22" ht="101.25" customHeight="1">
      <c r="B21" s="9" t="s">
        <v>11</v>
      </c>
      <c r="C21" s="11" t="s">
        <v>25</v>
      </c>
      <c r="D21" s="7">
        <f>(D4*D27)/(D22*D23)</f>
        <v>27840.909090909092</v>
      </c>
      <c r="E21" s="7" t="s">
        <v>4</v>
      </c>
    </row>
    <row r="22" spans="2:22" ht="63" customHeight="1">
      <c r="B22" s="9"/>
      <c r="C22" s="12" t="s">
        <v>29</v>
      </c>
      <c r="D22" s="5">
        <v>0.88</v>
      </c>
      <c r="E22" s="7"/>
      <c r="H22" s="2"/>
      <c r="I22" s="101"/>
      <c r="J22" s="2"/>
      <c r="T22" s="3"/>
      <c r="U22" s="3"/>
      <c r="V22" s="3"/>
    </row>
    <row r="23" spans="2:22" ht="70.5" customHeight="1">
      <c r="B23" s="7"/>
      <c r="C23" s="12" t="s">
        <v>30</v>
      </c>
      <c r="D23" s="5">
        <v>0.88</v>
      </c>
      <c r="E23" s="7"/>
      <c r="H23" s="2"/>
      <c r="I23" s="101"/>
      <c r="J23" s="2"/>
      <c r="O23" s="3"/>
      <c r="P23" s="3"/>
      <c r="Q23" s="3"/>
      <c r="T23" s="3"/>
      <c r="U23" s="3"/>
      <c r="V23" s="3"/>
    </row>
    <row r="24" spans="2:22" ht="48" customHeight="1">
      <c r="B24" s="6"/>
      <c r="C24" s="98"/>
      <c r="D24" s="40"/>
      <c r="E24" s="40"/>
      <c r="H24" s="2"/>
      <c r="I24" s="101"/>
      <c r="J24" s="2"/>
      <c r="O24" s="3"/>
      <c r="P24" s="3"/>
      <c r="Q24" s="3"/>
      <c r="T24" s="3"/>
      <c r="U24" s="3"/>
      <c r="V24" s="3"/>
    </row>
    <row r="25" spans="2:22" ht="250.5" customHeight="1">
      <c r="B25" s="2"/>
      <c r="C25" s="98"/>
      <c r="D25" s="40"/>
      <c r="E25" s="40"/>
      <c r="H25" s="2"/>
      <c r="I25" s="101"/>
      <c r="J25" s="2"/>
      <c r="O25" s="3"/>
      <c r="P25" s="3"/>
      <c r="Q25" s="3"/>
      <c r="T25" s="3"/>
      <c r="U25" s="3"/>
      <c r="V25" s="3"/>
    </row>
    <row r="26" spans="2:22" ht="306" customHeight="1">
      <c r="B26" s="10"/>
      <c r="C26" s="14"/>
      <c r="D26" s="6"/>
      <c r="E26" s="6"/>
      <c r="H26" s="2"/>
      <c r="I26" s="101"/>
      <c r="J26" s="2"/>
    </row>
    <row r="27" spans="2:22" ht="57.75" customHeight="1">
      <c r="B27" s="9"/>
      <c r="C27" s="12" t="s">
        <v>31</v>
      </c>
      <c r="D27" s="5">
        <v>0.98</v>
      </c>
      <c r="E27" s="7"/>
    </row>
    <row r="28" spans="2:22" ht="336.75" customHeight="1">
      <c r="B28" s="10"/>
      <c r="C28" s="14"/>
      <c r="D28" s="6"/>
      <c r="E28" s="6"/>
      <c r="G28" s="13"/>
      <c r="J28" s="13"/>
    </row>
    <row r="29" spans="2:22" ht="58.5" customHeight="1">
      <c r="B29" s="9" t="s">
        <v>12</v>
      </c>
      <c r="C29" s="11" t="s">
        <v>26</v>
      </c>
      <c r="D29" s="7"/>
      <c r="E29" s="7"/>
      <c r="G29" s="13"/>
      <c r="J29" s="13"/>
    </row>
    <row r="30" spans="2:22" ht="96" customHeight="1">
      <c r="B30" s="9"/>
      <c r="C30" s="12" t="s">
        <v>32</v>
      </c>
      <c r="D30" s="5">
        <v>0.73</v>
      </c>
      <c r="E30" s="7" t="s">
        <v>35</v>
      </c>
      <c r="G30" s="13"/>
      <c r="J30" s="13"/>
    </row>
    <row r="31" spans="2:22" ht="120" customHeight="1">
      <c r="B31" s="7"/>
      <c r="C31" s="12" t="s">
        <v>33</v>
      </c>
      <c r="D31" s="5">
        <v>32500</v>
      </c>
      <c r="E31" s="7" t="s">
        <v>34</v>
      </c>
      <c r="G31" s="13"/>
      <c r="J31" s="13"/>
    </row>
    <row r="32" spans="2:22" ht="270.75" customHeight="1">
      <c r="B32" s="10"/>
      <c r="C32" s="15"/>
      <c r="D32" s="6"/>
      <c r="E32" s="6"/>
      <c r="G32" s="13"/>
      <c r="J32" s="13"/>
    </row>
    <row r="33" spans="2:10" ht="120.75" customHeight="1">
      <c r="B33" s="10"/>
      <c r="C33" s="15"/>
      <c r="D33" s="6"/>
      <c r="E33" s="6"/>
      <c r="G33" s="13"/>
      <c r="J33" s="13"/>
    </row>
    <row r="34" spans="2:10" ht="126.75" customHeight="1">
      <c r="B34" s="10"/>
      <c r="C34" s="15"/>
      <c r="D34" s="6"/>
      <c r="E34" s="6"/>
    </row>
    <row r="35" spans="2:10">
      <c r="B35" s="9" t="s">
        <v>13</v>
      </c>
      <c r="C35" s="12" t="s">
        <v>27</v>
      </c>
      <c r="D35" s="5">
        <v>0.90500000000000003</v>
      </c>
      <c r="E35" s="7"/>
    </row>
    <row r="36" spans="2:10" ht="185.25" customHeight="1">
      <c r="B36" s="9"/>
      <c r="C36" s="11"/>
      <c r="D36" s="7"/>
      <c r="E36" s="7"/>
    </row>
    <row r="37" spans="2:10" ht="89.25" customHeight="1">
      <c r="B37" s="9"/>
      <c r="C37" s="11" t="s">
        <v>37</v>
      </c>
      <c r="D37" s="7">
        <v>1.1000000000000001</v>
      </c>
      <c r="E37" s="7"/>
    </row>
    <row r="38" spans="2:10" ht="84" customHeight="1">
      <c r="B38" s="9"/>
      <c r="C38" s="11" t="s">
        <v>38</v>
      </c>
      <c r="D38" s="7">
        <f>(2*3.14*D5)/60</f>
        <v>314</v>
      </c>
      <c r="E38" s="7"/>
    </row>
    <row r="39" spans="2:10" ht="81" customHeight="1">
      <c r="B39" s="9" t="s">
        <v>14</v>
      </c>
      <c r="C39" s="11" t="s">
        <v>36</v>
      </c>
      <c r="D39" s="7">
        <f>D21/(D37*D19^2*D38*D35*D31*D30)</f>
        <v>0.17083445482059867</v>
      </c>
      <c r="E39" s="7" t="s">
        <v>28</v>
      </c>
      <c r="H39" s="2"/>
      <c r="I39" s="101"/>
      <c r="J39" s="2"/>
    </row>
    <row r="40" spans="2:10" ht="81.75" customHeight="1">
      <c r="B40" s="9" t="s">
        <v>15</v>
      </c>
      <c r="C40" s="11" t="s">
        <v>39</v>
      </c>
      <c r="D40" s="7">
        <f>D39/D20</f>
        <v>0.73402424893956886</v>
      </c>
      <c r="E40" s="7"/>
      <c r="H40" s="2"/>
      <c r="I40" s="101"/>
      <c r="J40" s="2"/>
    </row>
    <row r="41" spans="2:10" ht="312" customHeight="1">
      <c r="B41" s="7"/>
      <c r="C41" s="11"/>
      <c r="D41" s="7"/>
      <c r="E41" s="7"/>
    </row>
    <row r="43" spans="2:10" ht="56.25" customHeight="1">
      <c r="H43" s="2"/>
      <c r="I43" s="101"/>
      <c r="J43" s="2"/>
    </row>
    <row r="44" spans="2:10">
      <c r="H44" s="2"/>
      <c r="I44" s="101"/>
      <c r="J44" s="2"/>
    </row>
    <row r="45" spans="2:10">
      <c r="B45" s="9" t="s">
        <v>40</v>
      </c>
      <c r="C45" s="11" t="s">
        <v>48</v>
      </c>
      <c r="D45" s="7"/>
      <c r="E45" s="7"/>
      <c r="H45" s="2"/>
      <c r="I45" s="101"/>
      <c r="J45" s="2"/>
    </row>
    <row r="46" spans="2:10">
      <c r="B46" s="9"/>
      <c r="C46" s="12" t="s">
        <v>49</v>
      </c>
      <c r="D46" s="5">
        <v>1.4E-2</v>
      </c>
      <c r="E46" s="7"/>
      <c r="H46" s="2"/>
      <c r="I46" s="101"/>
      <c r="J46" s="2"/>
    </row>
    <row r="47" spans="2:10">
      <c r="B47" s="9"/>
      <c r="C47" s="12" t="s">
        <v>50</v>
      </c>
      <c r="D47" s="5">
        <v>1.6E-2</v>
      </c>
      <c r="E47" s="7"/>
      <c r="H47" s="2"/>
      <c r="I47" s="101"/>
      <c r="J47" s="2"/>
    </row>
    <row r="48" spans="2:10" ht="409.5" customHeight="1">
      <c r="B48" s="9"/>
      <c r="C48" s="11"/>
      <c r="D48" s="7"/>
      <c r="E48" s="7"/>
      <c r="H48" s="2"/>
      <c r="I48" s="101"/>
      <c r="J48" s="2"/>
    </row>
    <row r="49" spans="2:16">
      <c r="B49" s="9" t="s">
        <v>41</v>
      </c>
      <c r="C49" s="16" t="s">
        <v>51</v>
      </c>
      <c r="D49" s="7"/>
      <c r="E49" s="7"/>
      <c r="P49" s="1"/>
    </row>
    <row r="50" spans="2:16" ht="94.5" customHeight="1">
      <c r="B50" s="9"/>
      <c r="C50" s="16" t="s">
        <v>52</v>
      </c>
      <c r="D50" s="7">
        <f>(3.14*D19)/D46</f>
        <v>33.248114285714287</v>
      </c>
      <c r="E50" s="7"/>
      <c r="H50" s="2"/>
      <c r="I50" s="101"/>
      <c r="J50" s="2"/>
      <c r="P50" s="1"/>
    </row>
    <row r="51" spans="2:16" ht="94.5" customHeight="1">
      <c r="B51" s="9"/>
      <c r="C51" s="11" t="s">
        <v>53</v>
      </c>
      <c r="D51" s="7">
        <f>(3.14*D19)/D47</f>
        <v>29.092100000000002</v>
      </c>
      <c r="E51" s="7"/>
      <c r="H51" s="2"/>
      <c r="I51" s="101"/>
      <c r="J51" s="2"/>
      <c r="P51" s="1"/>
    </row>
    <row r="52" spans="2:16" ht="94.5" customHeight="1">
      <c r="B52" s="9"/>
      <c r="C52" s="11" t="s">
        <v>55</v>
      </c>
      <c r="D52" s="7">
        <v>3</v>
      </c>
      <c r="E52" s="7"/>
      <c r="H52" s="2"/>
      <c r="I52" s="101"/>
      <c r="J52" s="2"/>
      <c r="P52" s="1"/>
    </row>
    <row r="53" spans="2:16">
      <c r="B53" s="9" t="s">
        <v>42</v>
      </c>
      <c r="C53" s="12" t="s">
        <v>54</v>
      </c>
      <c r="D53" s="5">
        <v>30</v>
      </c>
      <c r="E53" s="7"/>
      <c r="H53" s="2"/>
      <c r="I53" s="101"/>
      <c r="J53" s="2"/>
    </row>
    <row r="54" spans="2:16" ht="81.75" customHeight="1">
      <c r="B54" s="9" t="s">
        <v>43</v>
      </c>
      <c r="C54" s="11" t="s">
        <v>56</v>
      </c>
      <c r="D54" s="7">
        <f>D53/(D12*D52)</f>
        <v>5</v>
      </c>
      <c r="E54" s="7"/>
      <c r="G54" s="4"/>
      <c r="H54" s="4"/>
      <c r="K54" s="4"/>
      <c r="L54" s="4"/>
      <c r="M54" s="4"/>
      <c r="N54" s="4"/>
    </row>
    <row r="55" spans="2:16" ht="72" customHeight="1">
      <c r="B55" s="9" t="s">
        <v>44</v>
      </c>
      <c r="C55" s="11" t="s">
        <v>57</v>
      </c>
      <c r="D55" s="7">
        <f>(3.14*D19)/(D12*D52*D54)</f>
        <v>1.5515786666666668E-2</v>
      </c>
      <c r="E55" s="7" t="s">
        <v>28</v>
      </c>
      <c r="G55" s="4"/>
      <c r="H55" s="4"/>
      <c r="K55" s="4"/>
      <c r="L55" s="4"/>
      <c r="M55" s="4"/>
      <c r="N55" s="4"/>
    </row>
    <row r="56" spans="2:16" ht="76.5" customHeight="1">
      <c r="B56" s="9" t="s">
        <v>45</v>
      </c>
      <c r="C56" s="11" t="s">
        <v>58</v>
      </c>
      <c r="D56" s="7">
        <f>(3.14*D19*D31)/(D58*D53)</f>
        <v>20.235068339200005</v>
      </c>
      <c r="E56" s="7"/>
      <c r="G56" s="4"/>
      <c r="H56" s="4"/>
      <c r="K56" s="4"/>
      <c r="L56" s="4"/>
      <c r="M56" s="4"/>
      <c r="N56" s="4"/>
    </row>
    <row r="57" spans="2:16" ht="43.5" customHeight="1">
      <c r="B57" s="9"/>
      <c r="C57" s="11" t="s">
        <v>669</v>
      </c>
      <c r="D57" s="7">
        <f>D56*D59</f>
        <v>20.235068339200005</v>
      </c>
      <c r="E57" s="7"/>
      <c r="G57" s="4"/>
      <c r="H57" s="4"/>
      <c r="K57" s="4"/>
      <c r="L57" s="4"/>
      <c r="M57" s="4"/>
      <c r="N57" s="4"/>
    </row>
    <row r="58" spans="2:16" ht="72" customHeight="1">
      <c r="B58" s="9"/>
      <c r="C58" s="11" t="s">
        <v>59</v>
      </c>
      <c r="D58" s="7">
        <f>D4/(D52*D6*D23*D22)</f>
        <v>24.920255183413076</v>
      </c>
      <c r="E58" s="7" t="s">
        <v>63</v>
      </c>
      <c r="G58" s="4"/>
      <c r="H58" s="4"/>
      <c r="K58" s="4"/>
      <c r="L58" s="4"/>
      <c r="M58" s="4"/>
      <c r="N58" s="4"/>
    </row>
    <row r="59" spans="2:16" ht="43.5" customHeight="1">
      <c r="B59" s="9"/>
      <c r="C59" s="12" t="s">
        <v>60</v>
      </c>
      <c r="D59" s="5">
        <v>1</v>
      </c>
      <c r="E59" s="7"/>
      <c r="G59" s="4"/>
      <c r="H59" s="4"/>
      <c r="K59" s="4"/>
      <c r="L59" s="4"/>
      <c r="M59" s="4"/>
      <c r="N59" s="4"/>
    </row>
    <row r="60" spans="2:16" ht="95.25" customHeight="1">
      <c r="B60" s="9"/>
      <c r="C60" s="11"/>
      <c r="D60" s="7"/>
      <c r="E60" s="7"/>
      <c r="G60" s="4"/>
      <c r="H60" s="4"/>
      <c r="K60" s="4"/>
      <c r="L60" s="4"/>
      <c r="M60" s="4"/>
      <c r="N60" s="4"/>
    </row>
    <row r="61" spans="2:16" ht="33.75" customHeight="1">
      <c r="B61" s="9"/>
      <c r="C61" s="44" t="s">
        <v>669</v>
      </c>
      <c r="D61" s="43">
        <f>D57</f>
        <v>20.235068339200005</v>
      </c>
      <c r="E61" s="7"/>
      <c r="G61" s="4"/>
      <c r="H61" s="4"/>
      <c r="K61" s="4"/>
      <c r="L61" s="4"/>
      <c r="M61" s="4"/>
      <c r="N61" s="4"/>
    </row>
    <row r="62" spans="2:16">
      <c r="B62" s="9"/>
      <c r="C62" s="12" t="s">
        <v>670</v>
      </c>
      <c r="D62" s="5">
        <v>20</v>
      </c>
      <c r="E62" s="7"/>
      <c r="G62" s="4"/>
      <c r="H62" s="4"/>
      <c r="K62" s="4"/>
      <c r="L62" s="4"/>
      <c r="M62" s="4"/>
      <c r="N62" s="4"/>
    </row>
    <row r="63" spans="2:16" ht="69" customHeight="1">
      <c r="B63" s="9" t="s">
        <v>46</v>
      </c>
      <c r="C63" s="11" t="s">
        <v>61</v>
      </c>
      <c r="D63" s="7">
        <f>(D62*D53)/(2*D59*D52)</f>
        <v>100</v>
      </c>
      <c r="E63" s="7"/>
      <c r="G63" s="4"/>
      <c r="H63" s="4"/>
      <c r="K63" s="4"/>
      <c r="L63" s="4"/>
      <c r="M63" s="4"/>
      <c r="N63" s="4"/>
    </row>
    <row r="64" spans="2:16" ht="71.25" customHeight="1">
      <c r="B64" s="9" t="s">
        <v>47</v>
      </c>
      <c r="C64" s="11" t="s">
        <v>62</v>
      </c>
      <c r="D64" s="7">
        <f>(2*D58*D63*D52)/(3.14*D19)</f>
        <v>32122.451434512812</v>
      </c>
      <c r="E64" s="7" t="s">
        <v>34</v>
      </c>
      <c r="G64" s="4"/>
      <c r="H64" s="4"/>
      <c r="K64" s="4"/>
      <c r="L64" s="4"/>
      <c r="M64" s="4"/>
      <c r="N64" s="4"/>
    </row>
    <row r="65" spans="1:14" ht="54" customHeight="1">
      <c r="B65" s="9" t="s">
        <v>64</v>
      </c>
      <c r="C65" s="17" t="s">
        <v>27</v>
      </c>
      <c r="D65" s="7">
        <f>D66*D67</f>
        <v>0.91876259999999987</v>
      </c>
      <c r="E65" s="9"/>
      <c r="G65" s="4"/>
      <c r="H65" s="4"/>
      <c r="K65" s="4"/>
      <c r="L65" s="4"/>
      <c r="M65" s="4"/>
      <c r="N65" s="4"/>
    </row>
    <row r="66" spans="1:14">
      <c r="B66" s="9"/>
      <c r="C66" s="18" t="s">
        <v>70</v>
      </c>
      <c r="D66" s="5">
        <v>0.96599999999999997</v>
      </c>
      <c r="E66" s="9"/>
      <c r="G66" s="4"/>
      <c r="H66" s="4"/>
      <c r="K66" s="4"/>
      <c r="L66" s="4"/>
      <c r="M66" s="4"/>
      <c r="N66" s="4"/>
    </row>
    <row r="67" spans="1:14">
      <c r="B67" s="9"/>
      <c r="C67" s="12" t="s">
        <v>71</v>
      </c>
      <c r="D67" s="5">
        <v>0.95109999999999995</v>
      </c>
      <c r="E67" s="7"/>
      <c r="G67" s="4"/>
      <c r="H67" s="4"/>
      <c r="K67" s="4"/>
      <c r="L67" s="4"/>
      <c r="M67" s="4"/>
      <c r="N67" s="4"/>
    </row>
    <row r="68" spans="1:14" ht="186" customHeight="1">
      <c r="B68" s="9"/>
      <c r="C68" s="11"/>
      <c r="D68" s="7"/>
      <c r="E68" s="7"/>
      <c r="G68" s="4"/>
      <c r="H68" s="4"/>
      <c r="K68" s="4"/>
      <c r="L68" s="4"/>
      <c r="M68" s="4"/>
      <c r="N68" s="4"/>
    </row>
    <row r="69" spans="1:14" ht="207.75" customHeight="1">
      <c r="B69" s="9"/>
      <c r="C69" s="17"/>
      <c r="D69" s="7"/>
      <c r="E69" s="9"/>
      <c r="G69" s="4"/>
      <c r="H69" s="4"/>
      <c r="K69" s="4"/>
      <c r="L69" s="4"/>
      <c r="M69" s="4"/>
      <c r="N69" s="4"/>
    </row>
    <row r="70" spans="1:14" ht="86.25" customHeight="1">
      <c r="B70" s="9" t="s">
        <v>65</v>
      </c>
      <c r="C70" s="17" t="s">
        <v>72</v>
      </c>
      <c r="D70" s="7">
        <f>(D27*D6)/(4.44*D63*D65*D7)</f>
        <v>1.8258007862721852E-2</v>
      </c>
      <c r="E70" s="9"/>
      <c r="F70"/>
    </row>
    <row r="71" spans="1:14" ht="81" customHeight="1">
      <c r="B71" s="9" t="s">
        <v>66</v>
      </c>
      <c r="C71" s="17" t="s">
        <v>73</v>
      </c>
      <c r="D71" s="7">
        <f>(D11*D70)/(D19*D39)</f>
        <v>0.72096223671336024</v>
      </c>
      <c r="E71" s="9"/>
    </row>
    <row r="72" spans="1:14" ht="89.25" customHeight="1">
      <c r="B72" s="9" t="s">
        <v>67</v>
      </c>
      <c r="C72" s="17" t="s">
        <v>74</v>
      </c>
      <c r="D72" s="7">
        <f>D73/D64</f>
        <v>4233798.9140480012</v>
      </c>
      <c r="E72" s="9"/>
    </row>
    <row r="73" spans="1:14" ht="86.25" customHeight="1">
      <c r="B73" s="9"/>
      <c r="C73" s="12" t="s">
        <v>77</v>
      </c>
      <c r="D73" s="5">
        <f>136*10^9</f>
        <v>136000000000</v>
      </c>
      <c r="E73" s="7"/>
    </row>
    <row r="74" spans="1:14" ht="86.25" customHeight="1">
      <c r="B74" s="9"/>
      <c r="C74" s="44" t="s">
        <v>638</v>
      </c>
      <c r="D74" s="43">
        <f>D13</f>
        <v>0.27200000000000002</v>
      </c>
      <c r="E74" s="7"/>
    </row>
    <row r="75" spans="1:14" ht="408.75" customHeight="1">
      <c r="A75"/>
      <c r="B75" s="9"/>
      <c r="C75" s="11"/>
      <c r="D75" s="7"/>
      <c r="E75" s="7"/>
    </row>
    <row r="76" spans="1:14" ht="408.75" customHeight="1">
      <c r="A76"/>
      <c r="B76" s="9"/>
      <c r="C76" s="11"/>
      <c r="D76" s="7"/>
      <c r="E76" s="7"/>
    </row>
    <row r="77" spans="1:14" ht="118.5" customHeight="1">
      <c r="B77" s="9" t="s">
        <v>68</v>
      </c>
      <c r="C77" s="17" t="s">
        <v>75</v>
      </c>
      <c r="D77" s="7">
        <f>(D58/(D59*D72))*10^6</f>
        <v>5.8860271093003877</v>
      </c>
      <c r="E77" s="9"/>
    </row>
    <row r="78" spans="1:14">
      <c r="B78" s="9"/>
      <c r="C78" s="18" t="s">
        <v>80</v>
      </c>
      <c r="D78" s="5">
        <v>1.0940000000000001</v>
      </c>
      <c r="E78" s="9"/>
      <c r="H78" s="22" t="s">
        <v>108</v>
      </c>
      <c r="I78" s="5">
        <v>1.26</v>
      </c>
      <c r="J78" s="7" t="s">
        <v>93</v>
      </c>
    </row>
    <row r="79" spans="1:14">
      <c r="B79" s="9"/>
      <c r="C79" s="12" t="s">
        <v>79</v>
      </c>
      <c r="D79" s="5">
        <v>6</v>
      </c>
      <c r="E79" s="7"/>
      <c r="H79" s="22" t="s">
        <v>650</v>
      </c>
      <c r="I79" s="102">
        <v>1.18</v>
      </c>
      <c r="J79" s="7" t="s">
        <v>93</v>
      </c>
    </row>
    <row r="80" spans="1:14" ht="408.75" customHeight="1">
      <c r="B80" s="9"/>
      <c r="C80" s="11"/>
      <c r="D80" s="7"/>
      <c r="E80" s="9"/>
    </row>
    <row r="81" spans="2:10" ht="154.5" customHeight="1">
      <c r="B81" s="9"/>
      <c r="C81" s="11"/>
      <c r="D81" s="7"/>
      <c r="E81" s="9"/>
    </row>
    <row r="82" spans="2:10" ht="86.25" customHeight="1">
      <c r="B82" s="9"/>
      <c r="C82" s="17" t="s">
        <v>78</v>
      </c>
      <c r="D82" s="7">
        <f>D78*D79</f>
        <v>6.5640000000000001</v>
      </c>
      <c r="E82" s="9"/>
    </row>
    <row r="83" spans="2:10" ht="105" customHeight="1">
      <c r="B83" s="9" t="s">
        <v>69</v>
      </c>
      <c r="C83" s="17" t="s">
        <v>76</v>
      </c>
      <c r="D83" s="7">
        <f>D58/(D59*D82)</f>
        <v>3.7965044459800543</v>
      </c>
      <c r="E83" s="9"/>
    </row>
    <row r="85" spans="2:10" ht="106.5" customHeight="1"/>
    <row r="87" spans="2:10">
      <c r="B87" s="9" t="s">
        <v>89</v>
      </c>
      <c r="C87" s="11" t="s">
        <v>88</v>
      </c>
      <c r="D87" s="7"/>
      <c r="E87" s="7"/>
    </row>
    <row r="88" spans="2:10" ht="373.5" customHeight="1">
      <c r="B88" s="9" t="s">
        <v>81</v>
      </c>
      <c r="C88" s="16"/>
      <c r="D88" s="7"/>
      <c r="E88" s="7"/>
    </row>
    <row r="89" spans="2:10" ht="373.5" customHeight="1">
      <c r="B89" s="9" t="s">
        <v>81</v>
      </c>
      <c r="C89" s="16"/>
      <c r="D89" s="7"/>
      <c r="E89" s="7"/>
    </row>
    <row r="90" spans="2:10" ht="53.25" customHeight="1">
      <c r="B90" s="9" t="s">
        <v>82</v>
      </c>
      <c r="C90" s="12" t="s">
        <v>90</v>
      </c>
      <c r="D90" s="5">
        <v>1.5</v>
      </c>
      <c r="E90" s="7"/>
    </row>
    <row r="91" spans="2:10" ht="42" customHeight="1">
      <c r="B91" s="9"/>
      <c r="C91" s="12" t="s">
        <v>671</v>
      </c>
      <c r="D91" s="5">
        <v>1.85</v>
      </c>
      <c r="E91" s="7"/>
      <c r="J91" s="6"/>
    </row>
    <row r="92" spans="2:10" ht="51.75" customHeight="1">
      <c r="B92" s="9"/>
      <c r="C92" s="12" t="s">
        <v>91</v>
      </c>
      <c r="D92" s="5">
        <v>1.9</v>
      </c>
      <c r="E92" s="7"/>
      <c r="J92" s="6"/>
    </row>
    <row r="93" spans="2:10" ht="40.5" customHeight="1">
      <c r="B93" s="9"/>
      <c r="C93" s="12" t="s">
        <v>672</v>
      </c>
      <c r="D93" s="5">
        <v>1.45</v>
      </c>
      <c r="E93" s="7"/>
      <c r="J93" s="6"/>
    </row>
    <row r="94" spans="2:10" ht="408.75" customHeight="1">
      <c r="B94" s="9"/>
      <c r="C94" s="11"/>
      <c r="D94" s="7"/>
      <c r="E94" s="7"/>
    </row>
    <row r="95" spans="2:10" ht="408.75" customHeight="1">
      <c r="B95" s="9"/>
      <c r="C95" s="11"/>
      <c r="D95" s="7"/>
      <c r="E95" s="7"/>
    </row>
    <row r="96" spans="2:10" ht="76.5" customHeight="1">
      <c r="B96" s="9" t="s">
        <v>83</v>
      </c>
      <c r="C96" s="11" t="s">
        <v>105</v>
      </c>
      <c r="D96" s="7">
        <f>((D30*D55)/(D92*D98))*1000</f>
        <v>6.1456995478386691</v>
      </c>
      <c r="E96" s="7" t="s">
        <v>93</v>
      </c>
    </row>
    <row r="97" spans="2:10" ht="71.25" customHeight="1">
      <c r="B97" s="9"/>
      <c r="C97" s="11" t="s">
        <v>106</v>
      </c>
      <c r="D97" s="7">
        <f>((D70*10^3)/(2*D90*D39*D98))</f>
        <v>36.726956003569939</v>
      </c>
      <c r="E97" s="7" t="s">
        <v>93</v>
      </c>
    </row>
    <row r="98" spans="2:10" ht="71.25" customHeight="1">
      <c r="B98" s="9"/>
      <c r="C98" s="12" t="s">
        <v>92</v>
      </c>
      <c r="D98" s="5">
        <v>0.97</v>
      </c>
      <c r="E98" s="7"/>
    </row>
    <row r="99" spans="2:10" ht="257.25" customHeight="1">
      <c r="B99" s="9"/>
      <c r="C99" s="11"/>
      <c r="D99" s="7"/>
      <c r="E99" s="7"/>
    </row>
    <row r="100" spans="2:10" ht="111.75" customHeight="1">
      <c r="B100" s="9" t="s">
        <v>84</v>
      </c>
      <c r="C100" s="11"/>
      <c r="D100" s="7"/>
      <c r="E100" s="7"/>
    </row>
    <row r="101" spans="2:10">
      <c r="B101" s="9"/>
      <c r="C101" s="12" t="s">
        <v>282</v>
      </c>
      <c r="D101" s="5">
        <v>0.75</v>
      </c>
      <c r="E101" s="7" t="s">
        <v>93</v>
      </c>
    </row>
    <row r="102" spans="2:10">
      <c r="B102" s="9"/>
      <c r="C102" s="12" t="s">
        <v>283</v>
      </c>
      <c r="D102" s="5">
        <v>2.9</v>
      </c>
      <c r="E102" s="7" t="s">
        <v>93</v>
      </c>
    </row>
    <row r="103" spans="2:10">
      <c r="B103" s="9" t="s">
        <v>85</v>
      </c>
      <c r="C103" s="11" t="s">
        <v>94</v>
      </c>
      <c r="D103" s="7"/>
      <c r="E103" s="7"/>
    </row>
    <row r="104" spans="2:10" ht="68.25" customHeight="1">
      <c r="B104" s="9"/>
      <c r="C104" s="11" t="s">
        <v>95</v>
      </c>
      <c r="D104" s="7">
        <f>(((D13-D19)/2))*(10^3)-D97</f>
        <v>25.153043996430064</v>
      </c>
      <c r="E104" s="7" t="s">
        <v>93</v>
      </c>
    </row>
    <row r="105" spans="2:10" ht="72.75" customHeight="1">
      <c r="B105" s="9"/>
      <c r="C105" s="11" t="s">
        <v>142</v>
      </c>
      <c r="D105" s="7">
        <f>((3.14*(D19*1000+2*D104)))/D53-D96</f>
        <v>14.635457662080691</v>
      </c>
      <c r="E105" s="7" t="s">
        <v>93</v>
      </c>
    </row>
    <row r="106" spans="2:10" ht="78" customHeight="1">
      <c r="B106" s="9"/>
      <c r="C106" s="11" t="s">
        <v>143</v>
      </c>
      <c r="D106" s="7">
        <f>(((3.14*(D19*(10^3)+2*D101-D102))-D53*D92)/D53-3.14)</f>
        <v>10.329253333333334</v>
      </c>
      <c r="E106" s="7" t="s">
        <v>93</v>
      </c>
    </row>
    <row r="107" spans="2:10" ht="90.75" customHeight="1">
      <c r="B107" s="9"/>
      <c r="C107" s="11" t="s">
        <v>96</v>
      </c>
      <c r="D107" s="7">
        <f>D104-(D101+((D106-D102)/2))</f>
        <v>20.688417329763396</v>
      </c>
      <c r="E107" s="7" t="s">
        <v>93</v>
      </c>
    </row>
    <row r="108" spans="2:10" ht="43.5" customHeight="1">
      <c r="B108" s="9" t="s">
        <v>86</v>
      </c>
      <c r="C108" s="11" t="s">
        <v>97</v>
      </c>
      <c r="D108" s="7">
        <f>D105-I108</f>
        <v>14.435457662080692</v>
      </c>
      <c r="E108" s="7" t="s">
        <v>93</v>
      </c>
      <c r="H108" s="12" t="s">
        <v>100</v>
      </c>
      <c r="I108" s="5">
        <v>0.2</v>
      </c>
      <c r="J108" s="7" t="s">
        <v>93</v>
      </c>
    </row>
    <row r="109" spans="2:10" ht="55.5" customHeight="1">
      <c r="B109" s="9"/>
      <c r="C109" s="11" t="s">
        <v>98</v>
      </c>
      <c r="D109" s="7">
        <f>D106-I108</f>
        <v>10.129253333333335</v>
      </c>
      <c r="E109" s="7" t="s">
        <v>93</v>
      </c>
      <c r="H109" s="12" t="s">
        <v>101</v>
      </c>
      <c r="I109" s="5">
        <v>0.2</v>
      </c>
      <c r="J109" s="7" t="s">
        <v>93</v>
      </c>
    </row>
    <row r="110" spans="2:10" ht="45.75" customHeight="1">
      <c r="B110" s="9"/>
      <c r="C110" s="11" t="s">
        <v>99</v>
      </c>
      <c r="D110" s="7">
        <f>D107-I109</f>
        <v>20.488417329763397</v>
      </c>
      <c r="E110" s="7" t="s">
        <v>93</v>
      </c>
      <c r="H110" s="15"/>
      <c r="I110" s="6"/>
      <c r="J110" s="6"/>
    </row>
    <row r="111" spans="2:10" ht="80.25" customHeight="1">
      <c r="B111" s="9"/>
      <c r="C111" s="11" t="s">
        <v>104</v>
      </c>
      <c r="D111" s="7">
        <f>((D105+D106)/2)*D107</f>
        <v>258.24017979502912</v>
      </c>
      <c r="E111" s="7"/>
      <c r="H111" s="15"/>
      <c r="I111" s="6"/>
      <c r="J111" s="6"/>
    </row>
    <row r="112" spans="2:10" ht="51" customHeight="1">
      <c r="B112" s="9"/>
      <c r="C112" s="11" t="s">
        <v>103</v>
      </c>
      <c r="D112" s="7">
        <f>I113*(2*D104+D105+D106)</f>
        <v>18.817699747068538</v>
      </c>
      <c r="E112" s="7"/>
      <c r="H112" s="15"/>
      <c r="I112" s="6"/>
      <c r="J112" s="6"/>
    </row>
    <row r="113" spans="2:10" ht="45.75" customHeight="1">
      <c r="B113" s="9"/>
      <c r="C113" s="11" t="s">
        <v>102</v>
      </c>
      <c r="D113" s="7">
        <f>0.4*D105+0.9*D109</f>
        <v>14.970511064832278</v>
      </c>
      <c r="E113" s="7"/>
      <c r="H113" s="12" t="s">
        <v>107</v>
      </c>
      <c r="I113" s="5">
        <v>0.25</v>
      </c>
      <c r="J113" s="7"/>
    </row>
    <row r="114" spans="2:10" ht="409.5" customHeight="1">
      <c r="B114" s="9"/>
      <c r="C114" s="11"/>
      <c r="D114" s="7"/>
      <c r="E114" s="7"/>
      <c r="H114" s="15"/>
      <c r="I114" s="6"/>
      <c r="J114" s="6"/>
    </row>
    <row r="115" spans="2:10" ht="408.75" customHeight="1">
      <c r="B115" s="9"/>
      <c r="C115" s="11"/>
      <c r="D115" s="7"/>
      <c r="E115" s="7"/>
      <c r="H115" s="15"/>
      <c r="I115" s="6"/>
      <c r="J115" s="6"/>
    </row>
    <row r="116" spans="2:10" ht="302.25" customHeight="1">
      <c r="B116" s="9"/>
      <c r="C116" s="11"/>
      <c r="D116" s="7"/>
      <c r="E116" s="7"/>
      <c r="H116" s="15"/>
      <c r="I116" s="6"/>
      <c r="J116" s="6"/>
    </row>
    <row r="117" spans="2:10" ht="81" customHeight="1">
      <c r="B117" s="9" t="s">
        <v>87</v>
      </c>
      <c r="C117" s="11" t="s">
        <v>109</v>
      </c>
      <c r="D117" s="7">
        <f>((I78^2)*D62*D79)/D111</f>
        <v>0.73773182837470741</v>
      </c>
      <c r="E117" s="7"/>
    </row>
    <row r="118" spans="2:10" ht="78.75" customHeight="1">
      <c r="B118" s="10"/>
      <c r="C118" s="15"/>
      <c r="D118" s="6"/>
      <c r="E118" s="6"/>
    </row>
    <row r="120" spans="2:10" ht="75" customHeight="1">
      <c r="B120" s="9" t="s">
        <v>110</v>
      </c>
      <c r="C120" s="12" t="s">
        <v>127</v>
      </c>
      <c r="D120" s="5">
        <v>0.65</v>
      </c>
      <c r="E120" s="7" t="s">
        <v>93</v>
      </c>
    </row>
    <row r="121" spans="2:10" ht="409.5" customHeight="1">
      <c r="B121" s="9"/>
      <c r="C121" s="11"/>
      <c r="D121" s="7"/>
      <c r="E121" s="7"/>
    </row>
    <row r="122" spans="2:10" ht="67.5" customHeight="1">
      <c r="B122" s="9"/>
      <c r="C122" s="44" t="s">
        <v>126</v>
      </c>
      <c r="D122" s="43">
        <f>D19</f>
        <v>0.14824000000000001</v>
      </c>
      <c r="E122" s="7"/>
    </row>
    <row r="123" spans="2:10" ht="84" customHeight="1">
      <c r="B123" s="9"/>
      <c r="C123" s="44" t="s">
        <v>130</v>
      </c>
      <c r="D123" s="43">
        <f>D13</f>
        <v>0.27200000000000002</v>
      </c>
      <c r="E123" s="7"/>
    </row>
    <row r="124" spans="2:10">
      <c r="B124" s="9" t="s">
        <v>111</v>
      </c>
      <c r="C124" s="12" t="s">
        <v>129</v>
      </c>
      <c r="D124" s="5">
        <v>38</v>
      </c>
      <c r="E124" s="7"/>
    </row>
    <row r="125" spans="2:10" ht="363.75" customHeight="1">
      <c r="B125" s="9"/>
      <c r="C125" s="11"/>
      <c r="D125" s="7"/>
      <c r="E125" s="7"/>
    </row>
    <row r="126" spans="2:10" ht="408.75" customHeight="1">
      <c r="B126" s="9"/>
      <c r="C126" s="11"/>
      <c r="D126" s="7"/>
      <c r="E126" s="7"/>
    </row>
    <row r="127" spans="2:10" ht="165.75" customHeight="1">
      <c r="B127" s="9"/>
      <c r="C127" s="11"/>
      <c r="D127" s="7"/>
      <c r="E127" s="7"/>
    </row>
    <row r="128" spans="2:10" ht="48" customHeight="1">
      <c r="B128" s="9" t="s">
        <v>112</v>
      </c>
      <c r="C128" s="11" t="s">
        <v>144</v>
      </c>
      <c r="D128" s="7">
        <f>(D122*1000-2*D120)/1000</f>
        <v>0.14693999999999999</v>
      </c>
      <c r="E128" s="7" t="s">
        <v>28</v>
      </c>
    </row>
    <row r="129" spans="2:5">
      <c r="B129" s="9" t="s">
        <v>113</v>
      </c>
      <c r="C129" s="11"/>
      <c r="D129" s="7"/>
      <c r="E129" s="7"/>
    </row>
    <row r="130" spans="2:5" ht="82.5" customHeight="1">
      <c r="B130" s="9" t="s">
        <v>114</v>
      </c>
      <c r="C130" s="11" t="s">
        <v>128</v>
      </c>
      <c r="D130" s="7">
        <f>(3.14*D128)/D124</f>
        <v>1.2141884210526315E-2</v>
      </c>
      <c r="E130" s="7" t="s">
        <v>28</v>
      </c>
    </row>
    <row r="131" spans="2:5" ht="51.75" customHeight="1">
      <c r="B131" s="9" t="s">
        <v>115</v>
      </c>
      <c r="C131" s="11" t="s">
        <v>131</v>
      </c>
      <c r="D131" s="7">
        <f>D123*D132</f>
        <v>6.2560000000000004E-2</v>
      </c>
      <c r="E131" s="7" t="s">
        <v>28</v>
      </c>
    </row>
    <row r="132" spans="2:5">
      <c r="B132" s="9"/>
      <c r="C132" s="12" t="s">
        <v>132</v>
      </c>
      <c r="D132" s="5">
        <v>0.23</v>
      </c>
      <c r="E132" s="7"/>
    </row>
    <row r="133" spans="2:5" ht="132" customHeight="1">
      <c r="B133" s="9"/>
      <c r="C133" s="11"/>
      <c r="D133" s="7"/>
      <c r="E133" s="7"/>
    </row>
    <row r="134" spans="2:5" ht="59.25" customHeight="1">
      <c r="B134" s="9" t="s">
        <v>116</v>
      </c>
      <c r="C134" s="11" t="s">
        <v>133</v>
      </c>
      <c r="D134" s="7">
        <f>D136*D58*D135</f>
        <v>320.48759758247286</v>
      </c>
      <c r="E134" s="7" t="s">
        <v>63</v>
      </c>
    </row>
    <row r="135" spans="2:5" ht="78.75" customHeight="1">
      <c r="B135" s="9"/>
      <c r="C135" s="11" t="s">
        <v>134</v>
      </c>
      <c r="D135" s="7">
        <f>(2*D52*D63*D35)/D124</f>
        <v>14.289473684210526</v>
      </c>
      <c r="E135" s="7"/>
    </row>
    <row r="136" spans="2:5">
      <c r="B136" s="9"/>
      <c r="C136" s="12" t="s">
        <v>673</v>
      </c>
      <c r="D136" s="5">
        <v>0.9</v>
      </c>
      <c r="E136" s="7"/>
    </row>
    <row r="137" spans="2:5" ht="409.5" customHeight="1">
      <c r="B137" s="9"/>
      <c r="C137" s="11"/>
      <c r="D137" s="7"/>
      <c r="E137" s="7"/>
    </row>
    <row r="138" spans="2:5" ht="81.75" customHeight="1">
      <c r="B138" s="9" t="s">
        <v>117</v>
      </c>
      <c r="C138" s="11" t="s">
        <v>135</v>
      </c>
      <c r="D138" s="7">
        <f>(D134/D139)*10^6</f>
        <v>91.567885023563676</v>
      </c>
      <c r="E138" s="7"/>
    </row>
    <row r="139" spans="2:5" ht="60.75" customHeight="1">
      <c r="B139" s="9"/>
      <c r="C139" s="12" t="s">
        <v>136</v>
      </c>
      <c r="D139" s="5">
        <f>3.5*10^6</f>
        <v>3500000</v>
      </c>
      <c r="E139" s="7"/>
    </row>
    <row r="140" spans="2:5" ht="103.5" customHeight="1">
      <c r="B140" s="9"/>
      <c r="C140" s="11"/>
      <c r="D140" s="7"/>
      <c r="E140" s="7"/>
    </row>
    <row r="141" spans="2:5">
      <c r="B141" s="9"/>
      <c r="C141" s="12" t="s">
        <v>280</v>
      </c>
      <c r="D141" s="5">
        <v>1.5</v>
      </c>
      <c r="E141" s="7"/>
    </row>
    <row r="142" spans="2:5">
      <c r="B142" s="9"/>
      <c r="C142" s="12" t="s">
        <v>281</v>
      </c>
      <c r="D142" s="5">
        <v>0.7</v>
      </c>
      <c r="E142" s="7"/>
    </row>
    <row r="143" spans="2:5">
      <c r="B143" s="9"/>
      <c r="C143" s="12" t="s">
        <v>145</v>
      </c>
      <c r="D143" s="5">
        <v>0</v>
      </c>
      <c r="E143" s="7"/>
    </row>
    <row r="144" spans="2:5" ht="408" customHeight="1">
      <c r="B144" s="9" t="s">
        <v>118</v>
      </c>
      <c r="C144" s="11"/>
      <c r="D144" s="7"/>
      <c r="E144" s="7"/>
    </row>
    <row r="145" spans="2:10" ht="66.75" customHeight="1">
      <c r="B145" s="9" t="s">
        <v>119</v>
      </c>
      <c r="C145" s="11" t="s">
        <v>137</v>
      </c>
      <c r="D145" s="7">
        <f>(D30*D130*1000*D39)/(D91*D39*D98)</f>
        <v>4.9393009048114855</v>
      </c>
      <c r="E145" s="7" t="s">
        <v>93</v>
      </c>
    </row>
    <row r="146" spans="2:10">
      <c r="B146" s="9" t="s">
        <v>120</v>
      </c>
      <c r="C146" s="11" t="s">
        <v>139</v>
      </c>
      <c r="D146" s="7"/>
      <c r="E146" s="7"/>
    </row>
    <row r="147" spans="2:10" ht="94.5" customHeight="1">
      <c r="B147" s="9"/>
      <c r="C147" s="11" t="s">
        <v>140</v>
      </c>
      <c r="D147" s="7">
        <f>(3.14*(D128*1000-2*D142-2*D143)-D124*D145)/(3.14+D124)</f>
        <v>6.5459933305095648</v>
      </c>
      <c r="E147" s="7" t="s">
        <v>93</v>
      </c>
    </row>
    <row r="148" spans="2:10" ht="94.5" customHeight="1">
      <c r="B148" s="9"/>
      <c r="C148" s="12" t="s">
        <v>146</v>
      </c>
      <c r="D148" s="5">
        <v>0.68</v>
      </c>
      <c r="E148" s="7"/>
    </row>
    <row r="149" spans="2:10" ht="130.5" customHeight="1">
      <c r="B149" s="9"/>
      <c r="C149" s="11" t="s">
        <v>141</v>
      </c>
      <c r="D149" s="7">
        <f>D148*D147</f>
        <v>4.4512754647465043</v>
      </c>
      <c r="E149" s="7" t="s">
        <v>93</v>
      </c>
      <c r="H149" s="2"/>
      <c r="I149" s="2"/>
      <c r="J149" s="2"/>
    </row>
    <row r="150" spans="2:10" ht="85.5" customHeight="1">
      <c r="B150" s="9"/>
      <c r="C150" s="11" t="s">
        <v>152</v>
      </c>
      <c r="D150" s="7">
        <f>(D147-D149)*(D124/(2*3.14))</f>
        <v>12.675044410668201</v>
      </c>
      <c r="E150" s="7" t="s">
        <v>93</v>
      </c>
      <c r="J150" s="6"/>
    </row>
    <row r="151" spans="2:10" ht="84" customHeight="1">
      <c r="B151" s="9" t="s">
        <v>121</v>
      </c>
      <c r="C151" s="11" t="s">
        <v>147</v>
      </c>
      <c r="D151" s="7">
        <f>D143+D142+D147/2+D150+D149/2</f>
        <v>18.873678808296233</v>
      </c>
      <c r="E151" s="7" t="s">
        <v>93</v>
      </c>
    </row>
    <row r="152" spans="2:10" ht="76.5" customHeight="1">
      <c r="B152" s="9" t="s">
        <v>122</v>
      </c>
      <c r="C152" s="11" t="s">
        <v>149</v>
      </c>
      <c r="D152" s="7">
        <f>(3.14/8)*(D147^2+D149^2)+0.5*(D147+D149)*D150</f>
        <v>94.291008851819115</v>
      </c>
      <c r="E152" s="7"/>
    </row>
    <row r="153" spans="2:10" ht="84" customHeight="1">
      <c r="B153" s="9" t="s">
        <v>123</v>
      </c>
      <c r="C153" s="11" t="s">
        <v>150</v>
      </c>
      <c r="D153" s="7">
        <f>(D134/((D152*10^(-6)))/10^6)</f>
        <v>3.3989200188336923</v>
      </c>
      <c r="E153" s="7"/>
    </row>
    <row r="154" spans="2:10" ht="79.5" customHeight="1">
      <c r="B154" s="9" t="s">
        <v>124</v>
      </c>
      <c r="C154" s="11" t="s">
        <v>151</v>
      </c>
      <c r="D154" s="7">
        <f>(D155/D157)</f>
        <v>672.00057961669074</v>
      </c>
      <c r="E154" s="7"/>
      <c r="H154" s="2"/>
      <c r="I154" s="2"/>
      <c r="J154" s="2"/>
    </row>
    <row r="155" spans="2:10" ht="74.25" customHeight="1">
      <c r="B155" s="9"/>
      <c r="C155" s="11" t="s">
        <v>153</v>
      </c>
      <c r="D155" s="7">
        <f>D134/D156</f>
        <v>1941.4647893179624</v>
      </c>
      <c r="E155" s="7"/>
      <c r="H155" s="2"/>
      <c r="I155" s="2"/>
      <c r="J155" s="2"/>
    </row>
    <row r="156" spans="2:10" ht="74.25" customHeight="1">
      <c r="B156" s="9"/>
      <c r="C156" s="11" t="s">
        <v>154</v>
      </c>
      <c r="D156" s="7">
        <f>2*SIN((3.14*D11)/D124)</f>
        <v>0.16507515322750732</v>
      </c>
      <c r="E156" s="7"/>
      <c r="H156" s="15"/>
      <c r="I156" s="6"/>
      <c r="J156" s="6"/>
    </row>
    <row r="157" spans="2:10" ht="74.25" customHeight="1">
      <c r="B157" s="9"/>
      <c r="C157" s="11" t="s">
        <v>155</v>
      </c>
      <c r="D157" s="7">
        <f>0.85*D153</f>
        <v>2.8890820160086386</v>
      </c>
      <c r="E157" s="7"/>
      <c r="H157" s="15"/>
      <c r="I157" s="6"/>
      <c r="J157" s="6"/>
    </row>
    <row r="158" spans="2:10" ht="139.5" customHeight="1">
      <c r="B158" s="9"/>
      <c r="C158" s="11"/>
      <c r="D158" s="7"/>
      <c r="E158" s="7"/>
    </row>
    <row r="159" spans="2:10" ht="49.5" customHeight="1">
      <c r="B159" s="9" t="s">
        <v>125</v>
      </c>
      <c r="C159" s="11" t="s">
        <v>148</v>
      </c>
      <c r="D159" s="7">
        <f>1.25*D151</f>
        <v>23.592098510370292</v>
      </c>
      <c r="E159" s="7"/>
    </row>
    <row r="160" spans="2:10" ht="75" customHeight="1">
      <c r="B160" s="9"/>
      <c r="C160" s="11" t="s">
        <v>156</v>
      </c>
      <c r="D160" s="7">
        <f>D154/(D159)</f>
        <v>28.484137573488933</v>
      </c>
      <c r="E160" s="7"/>
    </row>
    <row r="161" spans="2:5" ht="44.25" customHeight="1">
      <c r="B161" s="9"/>
      <c r="C161" s="11" t="s">
        <v>157</v>
      </c>
      <c r="D161" s="7">
        <f>D128*1000-D159</f>
        <v>123.34790148962971</v>
      </c>
      <c r="E161" s="7" t="s">
        <v>93</v>
      </c>
    </row>
    <row r="163" spans="2:5" ht="51" customHeight="1"/>
    <row r="165" spans="2:5">
      <c r="B165" s="9" t="s">
        <v>158</v>
      </c>
      <c r="C165" s="11" t="s">
        <v>171</v>
      </c>
      <c r="D165" s="7"/>
      <c r="E165" s="7"/>
    </row>
    <row r="166" spans="2:5" ht="72.75" customHeight="1">
      <c r="B166" s="9"/>
      <c r="C166" s="11" t="s">
        <v>172</v>
      </c>
      <c r="D166" s="7">
        <f>(D30*D55)/(D92*D98)*1000</f>
        <v>6.1456995478386691</v>
      </c>
      <c r="E166" s="7"/>
    </row>
    <row r="167" spans="2:5" ht="78" customHeight="1">
      <c r="B167" s="9"/>
      <c r="C167" s="11" t="s">
        <v>173</v>
      </c>
      <c r="D167" s="7">
        <f>(D30*D130)/(D91*D98)*1000</f>
        <v>4.9393009048114846</v>
      </c>
      <c r="E167" s="7"/>
    </row>
    <row r="168" spans="2:5" ht="70.5" customHeight="1">
      <c r="B168" s="9" t="s">
        <v>159</v>
      </c>
      <c r="C168" s="11" t="s">
        <v>174</v>
      </c>
      <c r="D168" s="7">
        <f>D70*1000/(D97*D39*D98)</f>
        <v>3</v>
      </c>
      <c r="E168" s="7"/>
    </row>
    <row r="169" spans="2:5" ht="66" customHeight="1">
      <c r="B169" s="9"/>
      <c r="C169" s="11" t="s">
        <v>175</v>
      </c>
      <c r="D169" s="7">
        <f>((D13-D19)*1000/2)-D104</f>
        <v>36.726956003569939</v>
      </c>
      <c r="E169" s="7"/>
    </row>
    <row r="170" spans="2:5" ht="71.25" customHeight="1">
      <c r="B170" s="9" t="s">
        <v>160</v>
      </c>
      <c r="C170" s="11" t="s">
        <v>176</v>
      </c>
      <c r="D170" s="7">
        <f>D70*1000/(2*D97*D39*D98)</f>
        <v>1.5</v>
      </c>
      <c r="E170" s="7"/>
    </row>
    <row r="171" spans="2:5" ht="76.5" customHeight="1">
      <c r="B171" s="9"/>
      <c r="C171" s="11" t="s">
        <v>177</v>
      </c>
      <c r="D171" s="7">
        <f>((2+D11)/(3.2*D11))*((D128*1000/2)-D151)</f>
        <v>51.184051117222282</v>
      </c>
      <c r="E171" s="7"/>
    </row>
    <row r="172" spans="2:5" ht="70.5" customHeight="1">
      <c r="B172" s="9" t="s">
        <v>161</v>
      </c>
      <c r="C172" s="11" t="s">
        <v>178</v>
      </c>
      <c r="D172" s="7">
        <f>(2/((4*3.14)/10000000))*D30*D120/1000*D174</f>
        <v>779.36667214680142</v>
      </c>
      <c r="E172" s="7"/>
    </row>
    <row r="173" spans="2:5" ht="55.5" customHeight="1">
      <c r="B173" s="9"/>
      <c r="C173" s="11"/>
      <c r="D173" s="7"/>
      <c r="E173" s="7"/>
    </row>
    <row r="174" spans="2:5" ht="71.25" customHeight="1">
      <c r="B174" s="9"/>
      <c r="C174" s="11" t="s">
        <v>192</v>
      </c>
      <c r="D174" s="7">
        <f>(D55*1000)/(D55*1000-(D175*D120))</f>
        <v>1.0314905587106245</v>
      </c>
      <c r="E174" s="7"/>
    </row>
    <row r="175" spans="2:5" ht="71.25" customHeight="1">
      <c r="B175" s="9"/>
      <c r="C175" s="11" t="s">
        <v>193</v>
      </c>
      <c r="D175" s="7">
        <f>((D141/D120)^2)/(5+D141/D120)</f>
        <v>0.72874493927125494</v>
      </c>
      <c r="E175" s="7"/>
    </row>
    <row r="176" spans="2:5" ht="39" customHeight="1">
      <c r="B176" s="9" t="s">
        <v>162</v>
      </c>
      <c r="C176" s="11" t="s">
        <v>179</v>
      </c>
      <c r="D176" s="7">
        <f>2*D104/1000*D177</f>
        <v>151.92438573843759</v>
      </c>
      <c r="E176" s="7"/>
    </row>
    <row r="177" spans="2:10">
      <c r="B177" s="9"/>
      <c r="C177" s="12" t="s">
        <v>219</v>
      </c>
      <c r="D177" s="5">
        <v>3020</v>
      </c>
      <c r="E177" s="7"/>
      <c r="H177" s="44" t="s">
        <v>224</v>
      </c>
      <c r="I177" s="43">
        <f>D92</f>
        <v>1.9</v>
      </c>
      <c r="J177" s="7"/>
    </row>
    <row r="178" spans="2:10">
      <c r="B178" s="9"/>
      <c r="C178" s="12" t="s">
        <v>220</v>
      </c>
      <c r="D178" s="5">
        <v>2700</v>
      </c>
      <c r="E178" s="7"/>
      <c r="H178" s="44" t="s">
        <v>138</v>
      </c>
      <c r="I178" s="43">
        <f>D91</f>
        <v>1.85</v>
      </c>
      <c r="J178" s="7"/>
    </row>
    <row r="179" spans="2:10" ht="408.75" customHeight="1">
      <c r="B179" s="9"/>
      <c r="C179" s="11"/>
      <c r="D179" s="7"/>
      <c r="E179" s="7"/>
    </row>
    <row r="180" spans="2:10" ht="230.25" customHeight="1">
      <c r="B180" s="9"/>
      <c r="C180" s="11"/>
      <c r="D180" s="7"/>
      <c r="E180" s="7"/>
    </row>
    <row r="181" spans="2:10" ht="45" customHeight="1">
      <c r="B181" s="9" t="s">
        <v>163</v>
      </c>
      <c r="C181" s="11" t="s">
        <v>180</v>
      </c>
      <c r="D181" s="7">
        <f>2*D182/1000*D178</f>
        <v>99.514176813836542</v>
      </c>
      <c r="E181" s="7"/>
    </row>
    <row r="182" spans="2:10" ht="46.5" customHeight="1">
      <c r="B182" s="9"/>
      <c r="C182" s="11" t="s">
        <v>181</v>
      </c>
      <c r="D182" s="7">
        <f>D151-0.1*D149</f>
        <v>18.428551261821582</v>
      </c>
      <c r="E182" s="7"/>
    </row>
    <row r="183" spans="2:10" ht="375" customHeight="1">
      <c r="B183" s="9"/>
      <c r="C183" s="11"/>
      <c r="D183" s="7"/>
      <c r="E183" s="7"/>
    </row>
    <row r="184" spans="2:10" ht="90" customHeight="1">
      <c r="B184" s="9" t="s">
        <v>164</v>
      </c>
      <c r="C184" s="11" t="s">
        <v>182</v>
      </c>
      <c r="D184" s="7">
        <f>1+(D176+D181)/D172</f>
        <v>1.3226190848778214</v>
      </c>
      <c r="E184" s="7"/>
    </row>
    <row r="185" spans="2:10" ht="54" customHeight="1">
      <c r="B185" s="9" t="s">
        <v>165</v>
      </c>
      <c r="C185" s="11" t="s">
        <v>183</v>
      </c>
      <c r="D185" s="7">
        <f>D186/1000*D187</f>
        <v>216.45590593759559</v>
      </c>
      <c r="E185" s="7"/>
    </row>
    <row r="186" spans="2:10" ht="75.75" customHeight="1">
      <c r="B186" s="9"/>
      <c r="C186" s="11" t="s">
        <v>194</v>
      </c>
      <c r="D186" s="7">
        <f>(3.14*(D13*1000-D97))/D12</f>
        <v>369.37867907439522</v>
      </c>
      <c r="E186" s="7"/>
    </row>
    <row r="187" spans="2:10">
      <c r="B187" s="9"/>
      <c r="C187" s="12" t="s">
        <v>222</v>
      </c>
      <c r="D187" s="5">
        <v>586</v>
      </c>
      <c r="E187" s="7"/>
      <c r="H187" s="44" t="s">
        <v>225</v>
      </c>
      <c r="I187" s="43">
        <f>D90</f>
        <v>1.5</v>
      </c>
      <c r="J187" s="7"/>
    </row>
    <row r="188" spans="2:10">
      <c r="B188" s="9"/>
      <c r="C188" s="12" t="s">
        <v>223</v>
      </c>
      <c r="D188" s="5">
        <v>277</v>
      </c>
      <c r="E188" s="7"/>
      <c r="H188" s="44" t="s">
        <v>221</v>
      </c>
      <c r="I188" s="43">
        <f>D93</f>
        <v>1.45</v>
      </c>
      <c r="J188" s="7"/>
    </row>
    <row r="189" spans="2:10" ht="409.5" customHeight="1">
      <c r="B189" s="9"/>
      <c r="C189" s="11"/>
      <c r="D189" s="7"/>
      <c r="E189" s="7"/>
    </row>
    <row r="190" spans="2:10" ht="203.25" customHeight="1">
      <c r="B190" s="9"/>
      <c r="C190" s="11"/>
      <c r="D190" s="7"/>
      <c r="E190" s="7"/>
    </row>
    <row r="191" spans="2:10" ht="42" customHeight="1">
      <c r="B191" s="9" t="s">
        <v>166</v>
      </c>
      <c r="C191" s="11" t="s">
        <v>184</v>
      </c>
      <c r="D191" s="7">
        <f>D195/1000*D188</f>
        <v>10.526</v>
      </c>
      <c r="E191" s="7"/>
    </row>
    <row r="192" spans="2:10" ht="71.25" customHeight="1">
      <c r="B192" s="9"/>
      <c r="C192" s="11" t="s">
        <v>185</v>
      </c>
      <c r="D192" s="7">
        <f>(3.14*(D131*1000-D194))/D12</f>
        <v>61.61257572902511</v>
      </c>
      <c r="E192" s="7"/>
    </row>
    <row r="193" spans="2:10" ht="41.25" customHeight="1">
      <c r="B193" s="9"/>
      <c r="C193" s="11" t="s">
        <v>190</v>
      </c>
      <c r="D193" s="7">
        <f>2*D194</f>
        <v>46.632642383407514</v>
      </c>
      <c r="E193" s="7"/>
    </row>
    <row r="194" spans="2:10" ht="66.75" customHeight="1">
      <c r="B194" s="9"/>
      <c r="C194" s="11" t="s">
        <v>195</v>
      </c>
      <c r="D194" s="7">
        <f>(((D128-D131)/2)*1000)-D151</f>
        <v>23.316321191703757</v>
      </c>
      <c r="E194" s="7"/>
    </row>
    <row r="195" spans="2:10">
      <c r="B195" s="9"/>
      <c r="C195" s="12" t="s">
        <v>191</v>
      </c>
      <c r="D195" s="5">
        <v>38</v>
      </c>
      <c r="E195" s="7"/>
    </row>
    <row r="196" spans="2:10" ht="49.5" customHeight="1">
      <c r="B196" s="9" t="s">
        <v>167</v>
      </c>
      <c r="C196" s="11" t="s">
        <v>186</v>
      </c>
      <c r="D196" s="7">
        <f>D172+D176+D181+D185+D191</f>
        <v>1257.7871406366712</v>
      </c>
      <c r="E196" s="7"/>
    </row>
    <row r="197" spans="2:10" ht="71.25" customHeight="1">
      <c r="B197" s="9" t="s">
        <v>168</v>
      </c>
      <c r="C197" s="11" t="s">
        <v>187</v>
      </c>
      <c r="D197" s="7">
        <f>D196/D172</f>
        <v>1.6138580023854991</v>
      </c>
      <c r="E197" s="7"/>
    </row>
    <row r="198" spans="2:10" ht="72.75" customHeight="1">
      <c r="B198" s="9" t="s">
        <v>169</v>
      </c>
      <c r="C198" s="11" t="s">
        <v>188</v>
      </c>
      <c r="D198" s="7">
        <f>((D11*D196)/(0.9*D52*D63*D35))</f>
        <v>5.1474816477866634</v>
      </c>
      <c r="E198" s="7"/>
    </row>
    <row r="199" spans="2:10" ht="341.25" customHeight="1">
      <c r="B199" s="9"/>
      <c r="C199" s="11"/>
      <c r="D199" s="7"/>
      <c r="E199" s="7"/>
    </row>
    <row r="200" spans="2:10" ht="72" customHeight="1">
      <c r="B200" s="9" t="s">
        <v>170</v>
      </c>
      <c r="C200" s="11" t="s">
        <v>189</v>
      </c>
      <c r="D200" s="7">
        <f>D198/D58</f>
        <v>0.20655814356238325</v>
      </c>
      <c r="E200" s="7"/>
    </row>
    <row r="201" spans="2:10" ht="30.75" customHeight="1"/>
    <row r="202" spans="2:10" ht="36" customHeight="1">
      <c r="C202" s="19"/>
    </row>
    <row r="203" spans="2:10" ht="36" customHeight="1"/>
    <row r="204" spans="2:10" ht="71.25" customHeight="1">
      <c r="B204" s="9" t="s">
        <v>196</v>
      </c>
      <c r="C204" s="11" t="s">
        <v>206</v>
      </c>
      <c r="D204" s="20">
        <f>(I208*(D208/1000))/((D77/1000000)*D59)</f>
        <v>0.17242571655774966</v>
      </c>
      <c r="E204" s="7"/>
    </row>
    <row r="205" spans="2:10" ht="328.5" customHeight="1">
      <c r="B205" s="9"/>
      <c r="C205" s="11"/>
      <c r="D205" s="7"/>
      <c r="E205" s="7"/>
    </row>
    <row r="206" spans="2:10" ht="365.25" customHeight="1">
      <c r="B206" s="9"/>
      <c r="C206" s="11"/>
      <c r="D206" s="7"/>
      <c r="E206" s="7"/>
    </row>
    <row r="207" spans="2:10" ht="318.75" customHeight="1">
      <c r="B207" s="9"/>
      <c r="C207" s="11"/>
      <c r="D207" s="7"/>
      <c r="E207" s="7"/>
    </row>
    <row r="208" spans="2:10" ht="57" customHeight="1">
      <c r="B208" s="9"/>
      <c r="C208" s="11" t="s">
        <v>207</v>
      </c>
      <c r="D208" s="7">
        <f>(D209)*D63</f>
        <v>47700.414773974582</v>
      </c>
      <c r="E208" s="7"/>
      <c r="H208" s="12" t="s">
        <v>228</v>
      </c>
      <c r="I208" s="5">
        <f>(1/47)*10^(-6)</f>
        <v>2.127659574468085E-8</v>
      </c>
      <c r="J208" s="7"/>
    </row>
    <row r="209" spans="2:10" ht="61.5" customHeight="1">
      <c r="B209" s="9"/>
      <c r="C209" s="11" t="s">
        <v>208</v>
      </c>
      <c r="D209" s="7">
        <f>2*(D39*1000+D210)</f>
        <v>477.0041477397458</v>
      </c>
      <c r="E209" s="7"/>
      <c r="H209" s="12" t="s">
        <v>229</v>
      </c>
      <c r="I209" s="5">
        <f>1/14*10^(-6)</f>
        <v>7.1428571428571423E-8</v>
      </c>
      <c r="J209" s="7"/>
    </row>
    <row r="210" spans="2:10" ht="57" customHeight="1">
      <c r="B210" s="9"/>
      <c r="C210" s="11" t="s">
        <v>209</v>
      </c>
      <c r="D210" s="7">
        <f>D212*D211+2*I211*1000</f>
        <v>67.667619049274236</v>
      </c>
      <c r="E210" s="7"/>
      <c r="H210" s="12" t="s">
        <v>230</v>
      </c>
      <c r="I210" s="5">
        <f>1/28*10^(-6)</f>
        <v>3.5714285714285712E-8</v>
      </c>
      <c r="J210" s="7"/>
    </row>
    <row r="211" spans="2:10" ht="72.75" customHeight="1">
      <c r="B211" s="9"/>
      <c r="C211" s="11" t="s">
        <v>210</v>
      </c>
      <c r="D211" s="7">
        <f>((3.14*(D19+D104))/D12)</f>
        <v>39.723015874395202</v>
      </c>
      <c r="E211" s="7"/>
      <c r="H211" s="11" t="s">
        <v>227</v>
      </c>
      <c r="I211" s="7">
        <v>0.01</v>
      </c>
      <c r="J211" s="7" t="s">
        <v>28</v>
      </c>
    </row>
    <row r="212" spans="2:10" ht="41.25" customHeight="1">
      <c r="B212" s="9"/>
      <c r="C212" s="12" t="s">
        <v>226</v>
      </c>
      <c r="D212" s="5">
        <v>1.2</v>
      </c>
      <c r="E212" s="7"/>
    </row>
    <row r="213" spans="2:10" ht="409.5" customHeight="1">
      <c r="B213" s="9"/>
      <c r="C213" s="11"/>
      <c r="D213" s="7"/>
      <c r="E213" s="7"/>
    </row>
    <row r="214" spans="2:10" ht="69" customHeight="1">
      <c r="B214" s="9" t="s">
        <v>197</v>
      </c>
      <c r="C214" s="11" t="s">
        <v>211</v>
      </c>
      <c r="D214" s="7">
        <f>D204*(D58/D6)</f>
        <v>1.1307612781057828E-2</v>
      </c>
      <c r="E214" s="7"/>
    </row>
    <row r="215" spans="2:10">
      <c r="B215" s="9" t="s">
        <v>198</v>
      </c>
      <c r="C215" s="11" t="s">
        <v>212</v>
      </c>
      <c r="D215" s="7"/>
      <c r="E215" s="7"/>
    </row>
    <row r="216" spans="2:10" ht="104.25" customHeight="1">
      <c r="B216" s="9"/>
      <c r="C216" s="11" t="s">
        <v>213</v>
      </c>
      <c r="D216" s="20">
        <f>D217+2*(D218/D156^2)</f>
        <v>3.9886697428125523E-5</v>
      </c>
      <c r="E216" s="7">
        <f>D216*10^6</f>
        <v>39.886697428125522</v>
      </c>
      <c r="G216" s="2">
        <f>D216/D217</f>
        <v>308.21298442990803</v>
      </c>
    </row>
    <row r="217" spans="2:10" ht="108.75" customHeight="1">
      <c r="B217" s="9"/>
      <c r="C217" s="11" t="s">
        <v>214</v>
      </c>
      <c r="D217" s="20">
        <f>(I209*(D39*1000/D152))</f>
        <v>1.2941277442254E-7</v>
      </c>
      <c r="E217" s="7">
        <f>D217*10^6</f>
        <v>0.12941277442254001</v>
      </c>
    </row>
    <row r="218" spans="2:10" ht="102.75" customHeight="1">
      <c r="B218" s="9"/>
      <c r="C218" s="11" t="s">
        <v>215</v>
      </c>
      <c r="D218" s="20">
        <f>((I210*3.14*D219)/(D124*D154/1000))</f>
        <v>5.416891511859327E-7</v>
      </c>
      <c r="E218" s="7">
        <f>D218*10^6</f>
        <v>0.54168915118593275</v>
      </c>
    </row>
    <row r="219" spans="2:10" ht="79.5" customHeight="1">
      <c r="B219" s="9"/>
      <c r="C219" s="11" t="s">
        <v>231</v>
      </c>
      <c r="D219" s="7">
        <f>D128*1000-D159</f>
        <v>123.34790148962971</v>
      </c>
      <c r="E219" s="7"/>
    </row>
    <row r="220" spans="2:10" ht="388.5" customHeight="1">
      <c r="B220" s="9"/>
      <c r="C220" s="11"/>
      <c r="D220" s="7"/>
      <c r="E220" s="7"/>
    </row>
    <row r="221" spans="2:10" ht="102" customHeight="1">
      <c r="B221" s="9" t="s">
        <v>199</v>
      </c>
      <c r="C221" s="11" t="s">
        <v>216</v>
      </c>
      <c r="D221" s="7">
        <f>(D216*4*D52*(D63*D65)^2)/D124</f>
        <v>0.10632425401623188</v>
      </c>
      <c r="E221" s="7"/>
    </row>
    <row r="222" spans="2:10" ht="108" customHeight="1">
      <c r="B222" s="9" t="s">
        <v>200</v>
      </c>
      <c r="C222" s="11" t="s">
        <v>217</v>
      </c>
      <c r="D222" s="7">
        <f>D221*(D58/D6)</f>
        <v>6.9727040586066609E-3</v>
      </c>
      <c r="E222" s="7"/>
    </row>
    <row r="223" spans="2:10" ht="121.5" customHeight="1">
      <c r="B223" s="9" t="s">
        <v>201</v>
      </c>
      <c r="C223" s="11" t="s">
        <v>218</v>
      </c>
      <c r="D223" s="7">
        <f>15.8*(D7/100)*((D63/100)^2)*(D39/(D11*D54))*(D237+D235+D236)</f>
        <v>0.42428506577240682</v>
      </c>
      <c r="E223" s="7"/>
    </row>
    <row r="224" spans="2:10" ht="409.5" customHeight="1">
      <c r="B224" s="9"/>
      <c r="C224" s="11"/>
      <c r="D224" s="7"/>
      <c r="E224" s="7"/>
    </row>
    <row r="225" spans="2:10" ht="409.5" customHeight="1">
      <c r="B225" s="9"/>
      <c r="C225" s="11"/>
      <c r="D225" s="7"/>
      <c r="E225" s="7"/>
    </row>
    <row r="226" spans="2:10" ht="57" customHeight="1">
      <c r="B226" s="9"/>
      <c r="C226" s="11" t="s">
        <v>235</v>
      </c>
      <c r="D226" s="7">
        <v>1</v>
      </c>
      <c r="E226" s="7"/>
      <c r="H226" s="21"/>
    </row>
    <row r="227" spans="2:10" ht="64.5" customHeight="1">
      <c r="B227" s="9"/>
      <c r="C227" s="12" t="s">
        <v>232</v>
      </c>
      <c r="D227" s="5">
        <v>0.7</v>
      </c>
      <c r="E227" s="7"/>
      <c r="H227" s="21"/>
    </row>
    <row r="228" spans="2:10" ht="53.25" customHeight="1">
      <c r="B228" s="9"/>
      <c r="C228" s="11" t="s">
        <v>233</v>
      </c>
      <c r="D228" s="7">
        <f>0.25*(1+3*D227)</f>
        <v>0.77499999999999991</v>
      </c>
      <c r="E228" s="7"/>
      <c r="H228" s="21"/>
    </row>
    <row r="229" spans="2:10" ht="62.25" customHeight="1">
      <c r="B229" s="9"/>
      <c r="C229" s="12" t="s">
        <v>232</v>
      </c>
      <c r="D229" s="5">
        <v>0.33</v>
      </c>
      <c r="E229" s="7"/>
      <c r="H229" s="21"/>
    </row>
    <row r="230" spans="2:10" ht="61.5" customHeight="1">
      <c r="B230" s="9"/>
      <c r="C230" s="11" t="s">
        <v>233</v>
      </c>
      <c r="D230" s="7">
        <f>0.25*(6*D229-1)</f>
        <v>0.245</v>
      </c>
      <c r="E230" s="7"/>
      <c r="H230" s="21"/>
    </row>
    <row r="231" spans="2:10" ht="61.5" customHeight="1">
      <c r="B231" s="9"/>
      <c r="C231" s="11" t="s">
        <v>236</v>
      </c>
      <c r="D231" s="7">
        <f>0.25*(1+3*D233)</f>
        <v>0.625</v>
      </c>
      <c r="E231" s="7"/>
      <c r="H231" s="21"/>
    </row>
    <row r="232" spans="2:10" ht="61.5" customHeight="1">
      <c r="B232" s="9"/>
      <c r="C232" s="12" t="s">
        <v>285</v>
      </c>
      <c r="D232" s="5">
        <f>D229</f>
        <v>0.33</v>
      </c>
      <c r="E232" s="7"/>
      <c r="H232" s="21"/>
    </row>
    <row r="233" spans="2:10" ht="63.75" customHeight="1">
      <c r="B233" s="9"/>
      <c r="C233" s="12" t="s">
        <v>234</v>
      </c>
      <c r="D233" s="5">
        <v>0.5</v>
      </c>
      <c r="E233" s="7"/>
      <c r="H233" s="21"/>
    </row>
    <row r="234" spans="2:10" ht="63.75" customHeight="1">
      <c r="B234" s="9"/>
      <c r="C234" s="12" t="s">
        <v>253</v>
      </c>
      <c r="D234" s="5">
        <f>D231</f>
        <v>0.625</v>
      </c>
      <c r="E234" s="7"/>
      <c r="H234" s="21"/>
    </row>
    <row r="235" spans="2:10" ht="129" customHeight="1">
      <c r="B235" s="9"/>
      <c r="C235" s="11" t="s">
        <v>237</v>
      </c>
      <c r="D235" s="7">
        <f>0.34*(1/(D39*1000)*(D210-0.64*D232*D20*1000))</f>
        <v>3.6846351334474788E-2</v>
      </c>
      <c r="E235" s="7"/>
    </row>
    <row r="236" spans="2:10" ht="95.25" customHeight="1">
      <c r="B236" s="9"/>
      <c r="C236" s="11" t="s">
        <v>238</v>
      </c>
      <c r="D236" s="7">
        <f>(D55*1000)/(12*D120*D174)*D240</f>
        <v>0.22928176474916248</v>
      </c>
      <c r="E236" s="7"/>
      <c r="H236" s="42" t="s">
        <v>293</v>
      </c>
      <c r="I236" s="43">
        <f>D55</f>
        <v>1.5515786666666668E-2</v>
      </c>
      <c r="J236" s="7" t="s">
        <v>28</v>
      </c>
    </row>
    <row r="237" spans="2:10" ht="95.25" customHeight="1">
      <c r="B237" s="9"/>
      <c r="C237" s="11" t="s">
        <v>284</v>
      </c>
      <c r="D237" s="7">
        <f>'Расчет пазов'!D82</f>
        <v>1.3057728920396303</v>
      </c>
      <c r="E237" s="7"/>
      <c r="H237" s="42" t="s">
        <v>294</v>
      </c>
      <c r="I237" s="43">
        <f>D130</f>
        <v>1.2141884210526315E-2</v>
      </c>
      <c r="J237" s="7" t="s">
        <v>28</v>
      </c>
    </row>
    <row r="238" spans="2:10" ht="117" customHeight="1">
      <c r="B238" s="9"/>
      <c r="C238" s="11" t="s">
        <v>250</v>
      </c>
      <c r="D238" s="7">
        <f>(2*I243-I243*D242)*D231-(D65^2)*(I243)^2</f>
        <v>0.11889280572699623</v>
      </c>
      <c r="E238" s="7"/>
      <c r="H238" s="42" t="s">
        <v>268</v>
      </c>
      <c r="I238" s="43">
        <f>D102</f>
        <v>2.9</v>
      </c>
      <c r="J238" s="7" t="s">
        <v>93</v>
      </c>
    </row>
    <row r="239" spans="2:10" ht="109.5" customHeight="1">
      <c r="B239" s="9"/>
      <c r="C239" s="11" t="s">
        <v>251</v>
      </c>
      <c r="D239" s="7">
        <f>2*D243*D231-(D65^2)*(D130/D55)*(1+D241^2)</f>
        <v>0.58942991284353186</v>
      </c>
      <c r="E239" s="7"/>
      <c r="H239" s="42" t="s">
        <v>262</v>
      </c>
      <c r="I239" s="43">
        <f>D141</f>
        <v>1.5</v>
      </c>
      <c r="J239" s="7" t="s">
        <v>93</v>
      </c>
    </row>
    <row r="240" spans="2:10" ht="109.5" customHeight="1">
      <c r="B240" s="9"/>
      <c r="C240" s="12" t="s">
        <v>286</v>
      </c>
      <c r="D240" s="5">
        <f>D238</f>
        <v>0.11889280572699623</v>
      </c>
      <c r="E240" s="7"/>
      <c r="H240" s="42" t="s">
        <v>295</v>
      </c>
      <c r="I240" s="43">
        <f>D120</f>
        <v>0.65</v>
      </c>
      <c r="J240" s="41" t="s">
        <v>93</v>
      </c>
    </row>
    <row r="241" spans="2:10" ht="90.75" customHeight="1">
      <c r="B241" s="9"/>
      <c r="C241" s="12" t="s">
        <v>249</v>
      </c>
      <c r="D241" s="5">
        <v>0</v>
      </c>
      <c r="E241" s="7"/>
      <c r="H241" s="23" t="s">
        <v>296</v>
      </c>
      <c r="I241" s="7">
        <f>I238/I240</f>
        <v>4.4615384615384617</v>
      </c>
      <c r="J241" s="7"/>
    </row>
    <row r="242" spans="2:10" ht="90.75" customHeight="1">
      <c r="B242" s="9"/>
      <c r="C242" s="12" t="s">
        <v>252</v>
      </c>
      <c r="D242" s="5">
        <v>0.7</v>
      </c>
      <c r="E242" s="7"/>
      <c r="H242" s="23" t="s">
        <v>256</v>
      </c>
      <c r="I242" s="7">
        <f>I238/(I236*1000)</f>
        <v>0.18690641101879887</v>
      </c>
      <c r="J242" s="7"/>
    </row>
    <row r="243" spans="2:10" ht="85.5" customHeight="1">
      <c r="B243" s="9"/>
      <c r="C243" s="12" t="s">
        <v>248</v>
      </c>
      <c r="D243" s="5">
        <v>1</v>
      </c>
      <c r="E243" s="7"/>
      <c r="H243" s="23" t="s">
        <v>255</v>
      </c>
      <c r="I243" s="7">
        <f>I237/I236</f>
        <v>0.78255034510182619</v>
      </c>
      <c r="J243" s="7"/>
    </row>
    <row r="244" spans="2:10" ht="38.25" customHeight="1">
      <c r="B244" s="9"/>
      <c r="C244" s="11" t="s">
        <v>254</v>
      </c>
      <c r="D244" s="7">
        <v>0.04</v>
      </c>
      <c r="E244" s="7"/>
      <c r="H244" s="21"/>
      <c r="J244" s="40"/>
    </row>
    <row r="245" spans="2:10" ht="40.5" customHeight="1">
      <c r="B245" s="9"/>
      <c r="C245" s="11"/>
      <c r="D245" s="7"/>
      <c r="E245" s="7"/>
      <c r="H245" s="21"/>
    </row>
    <row r="246" spans="2:10" ht="266.25" customHeight="1">
      <c r="B246" s="9"/>
      <c r="C246" s="11"/>
      <c r="D246" s="7"/>
      <c r="E246" s="7"/>
      <c r="H246" s="21"/>
    </row>
    <row r="247" spans="2:10" ht="275.25" customHeight="1">
      <c r="B247" s="9"/>
      <c r="C247" s="11"/>
      <c r="D247" s="7"/>
      <c r="E247" s="7"/>
    </row>
    <row r="248" spans="2:10" ht="336" customHeight="1">
      <c r="B248" s="9"/>
      <c r="C248" s="11"/>
      <c r="D248" s="7"/>
      <c r="E248" s="7"/>
    </row>
    <row r="249" spans="2:10" ht="87.75" customHeight="1">
      <c r="B249" s="9" t="s">
        <v>202</v>
      </c>
      <c r="C249" s="11" t="s">
        <v>239</v>
      </c>
      <c r="D249" s="7">
        <f>D223*(D58/D6)</f>
        <v>2.782445291989363E-2</v>
      </c>
      <c r="E249" s="7"/>
    </row>
    <row r="250" spans="2:10" ht="73.5" customHeight="1">
      <c r="B250" s="9" t="s">
        <v>203</v>
      </c>
      <c r="C250" s="11" t="s">
        <v>240</v>
      </c>
      <c r="D250" s="7">
        <f>7.9*D7*D39*10^(-6)*(D251+D254+D252)</f>
        <v>3.3806231558170668E-4</v>
      </c>
      <c r="E250" s="7"/>
    </row>
    <row r="251" spans="2:10" ht="68.25" customHeight="1">
      <c r="B251" s="9"/>
      <c r="C251" s="11" t="s">
        <v>288</v>
      </c>
      <c r="D251" s="7">
        <f>'Расчет пазов'!D169</f>
        <v>1.4478110885014137</v>
      </c>
      <c r="E251" s="7"/>
    </row>
    <row r="252" spans="2:10" ht="104.25" customHeight="1">
      <c r="B252" s="9"/>
      <c r="C252" s="11" t="s">
        <v>287</v>
      </c>
      <c r="D252" s="7">
        <f>(I237*1000/(12*I240*D174))*D253</f>
        <v>0.39692560459664356</v>
      </c>
      <c r="E252" s="7"/>
    </row>
    <row r="253" spans="2:10" ht="105" customHeight="1">
      <c r="B253" s="9"/>
      <c r="C253" s="11" t="s">
        <v>289</v>
      </c>
      <c r="D253" s="7">
        <f>1+1/5*((3.14*D11/D124)^2)-D242/((1-(D11/D124))^2)</f>
        <v>0.26301643559708565</v>
      </c>
      <c r="E253" s="7"/>
    </row>
    <row r="254" spans="2:10" ht="125.25" customHeight="1">
      <c r="B254" s="9"/>
      <c r="C254" s="11" t="s">
        <v>290</v>
      </c>
      <c r="D254" s="7">
        <f>(2.3*D219)/(D124*D39*1000*(D156^2))*LOG((4.7*D219)/(2*D160+D159),EXP(1))</f>
        <v>3.1651072777611251</v>
      </c>
      <c r="E254" s="7"/>
    </row>
    <row r="255" spans="2:10" ht="103.5" customHeight="1">
      <c r="B255" s="9" t="s">
        <v>204</v>
      </c>
      <c r="C255" s="11" t="s">
        <v>291</v>
      </c>
      <c r="D255" s="7">
        <f>(D250*4*D52*(D63*D65)^2)/D124</f>
        <v>0.90115817635679674</v>
      </c>
      <c r="E255" s="7"/>
    </row>
    <row r="256" spans="2:10" ht="95.25" customHeight="1">
      <c r="B256" s="9" t="s">
        <v>205</v>
      </c>
      <c r="C256" s="11" t="s">
        <v>292</v>
      </c>
      <c r="D256" s="7">
        <f>D255*(D58/D6)</f>
        <v>5.9097609777448788E-2</v>
      </c>
      <c r="E256" s="7"/>
    </row>
    <row r="258" spans="2:10" ht="50.25" customHeight="1"/>
    <row r="260" spans="2:10">
      <c r="B260" s="9" t="s">
        <v>301</v>
      </c>
      <c r="C260" s="11" t="s">
        <v>310</v>
      </c>
      <c r="D260" s="7"/>
      <c r="E260" s="7"/>
    </row>
    <row r="261" spans="2:10" ht="112.5" customHeight="1">
      <c r="B261" s="9"/>
      <c r="C261" s="11" t="s">
        <v>310</v>
      </c>
      <c r="D261" s="7">
        <f>(I263*(D7/50)^1.5)*(I265*(D168^2)*D267+I266*D166*D268)</f>
        <v>1428.2701259861849</v>
      </c>
      <c r="E261" s="7"/>
    </row>
    <row r="262" spans="2:10">
      <c r="B262" s="9"/>
      <c r="C262" s="11"/>
      <c r="D262" s="7"/>
      <c r="E262" s="7"/>
    </row>
    <row r="263" spans="2:10">
      <c r="B263" s="9"/>
      <c r="C263" s="11"/>
      <c r="D263" s="7"/>
      <c r="E263" s="7"/>
      <c r="H263" s="12" t="s">
        <v>404</v>
      </c>
      <c r="I263" s="5">
        <v>2.5</v>
      </c>
      <c r="J263" s="7"/>
    </row>
    <row r="264" spans="2:10">
      <c r="B264" s="9"/>
      <c r="C264" s="11"/>
      <c r="D264" s="7"/>
      <c r="E264" s="7"/>
      <c r="H264" s="12" t="s">
        <v>403</v>
      </c>
      <c r="I264" s="5">
        <v>1.3</v>
      </c>
      <c r="J264" s="7"/>
    </row>
    <row r="265" spans="2:10">
      <c r="B265" s="9"/>
      <c r="C265" s="11"/>
      <c r="D265" s="7"/>
      <c r="E265" s="7"/>
      <c r="H265" s="11" t="s">
        <v>399</v>
      </c>
      <c r="I265" s="7">
        <v>1.6</v>
      </c>
      <c r="J265" s="7"/>
    </row>
    <row r="266" spans="2:10">
      <c r="B266" s="9"/>
      <c r="C266" s="11"/>
      <c r="D266" s="7"/>
      <c r="E266" s="7"/>
      <c r="H266" s="11" t="s">
        <v>400</v>
      </c>
      <c r="I266" s="7">
        <v>1.8</v>
      </c>
      <c r="J266" s="7"/>
    </row>
    <row r="267" spans="2:10" ht="60" customHeight="1">
      <c r="B267" s="9"/>
      <c r="C267" s="11" t="s">
        <v>405</v>
      </c>
      <c r="D267" s="7">
        <f>3.14*((D13*1000-D169)/1000)*(D169/1000)*D39*I268*I267</f>
        <v>35.069417899683025</v>
      </c>
      <c r="E267" s="7"/>
      <c r="H267" s="11" t="s">
        <v>401</v>
      </c>
      <c r="I267" s="7">
        <f>7.8*10^3</f>
        <v>7800</v>
      </c>
      <c r="J267" s="7"/>
    </row>
    <row r="268" spans="2:10" ht="80.25" customHeight="1">
      <c r="B268" s="9"/>
      <c r="C268" s="11" t="s">
        <v>406</v>
      </c>
      <c r="D268" s="7">
        <f>(D104/1000)*(D269/1000)*D53*D39*I268*I267</f>
        <v>5.9941130942130734</v>
      </c>
      <c r="E268" s="7"/>
      <c r="H268" s="11" t="s">
        <v>402</v>
      </c>
      <c r="I268" s="7">
        <v>0.97</v>
      </c>
      <c r="J268" s="7"/>
    </row>
    <row r="269" spans="2:10" ht="110.25" customHeight="1">
      <c r="B269" s="9"/>
      <c r="C269" s="11" t="s">
        <v>407</v>
      </c>
      <c r="D269" s="7">
        <f>D96</f>
        <v>6.1456995478386691</v>
      </c>
      <c r="E269" s="7"/>
    </row>
    <row r="270" spans="2:10">
      <c r="B270" s="9"/>
      <c r="C270" s="11"/>
      <c r="D270" s="7"/>
      <c r="E270" s="7"/>
    </row>
    <row r="271" spans="2:10">
      <c r="B271" s="9"/>
      <c r="C271" s="11"/>
      <c r="D271" s="7"/>
      <c r="E271" s="7"/>
    </row>
    <row r="272" spans="2:10">
      <c r="B272" s="9"/>
      <c r="C272" s="11"/>
      <c r="D272" s="7"/>
      <c r="E272" s="7"/>
      <c r="H272" s="15"/>
      <c r="I272" s="6"/>
      <c r="J272" s="6"/>
    </row>
    <row r="273" spans="2:10" ht="198.75" customHeight="1">
      <c r="B273" s="9"/>
      <c r="C273" s="11"/>
      <c r="D273" s="7"/>
      <c r="E273" s="7"/>
      <c r="H273" s="15"/>
      <c r="I273" s="6"/>
      <c r="J273" s="6"/>
    </row>
    <row r="274" spans="2:10">
      <c r="B274" s="9"/>
      <c r="C274" s="11"/>
      <c r="D274" s="7"/>
      <c r="E274" s="7"/>
      <c r="H274" s="15"/>
      <c r="I274" s="6"/>
      <c r="J274" s="6"/>
    </row>
    <row r="275" spans="2:10">
      <c r="B275" s="9"/>
      <c r="C275" s="11"/>
      <c r="D275" s="7"/>
      <c r="E275" s="7"/>
      <c r="H275" s="15"/>
      <c r="I275" s="6"/>
      <c r="J275" s="6"/>
    </row>
    <row r="276" spans="2:10" ht="208.5" customHeight="1">
      <c r="B276" s="9"/>
      <c r="C276" s="11"/>
      <c r="D276" s="7"/>
      <c r="E276" s="7"/>
    </row>
    <row r="277" spans="2:10" ht="76.5" customHeight="1">
      <c r="B277" s="9" t="s">
        <v>302</v>
      </c>
      <c r="C277" s="11" t="s">
        <v>415</v>
      </c>
      <c r="D277" s="7">
        <f>D278*(D130-(D141/1000))*D124*D39</f>
        <v>14.369409904913139</v>
      </c>
      <c r="E277" s="7"/>
    </row>
    <row r="278" spans="2:10" ht="76.5" customHeight="1">
      <c r="B278" s="9"/>
      <c r="C278" s="11" t="s">
        <v>416</v>
      </c>
      <c r="D278" s="7">
        <f>0.5*D280*(((D53*D5)/10000)^(3/2))*(D281*D55*1000)^2</f>
        <v>207.99904540508166</v>
      </c>
      <c r="E278" s="7"/>
    </row>
    <row r="279" spans="2:10">
      <c r="B279" s="9"/>
      <c r="C279" s="11" t="s">
        <v>398</v>
      </c>
      <c r="D279" s="7">
        <f>D280*D30*D174</f>
        <v>1.2047809725740093</v>
      </c>
      <c r="E279" s="7"/>
    </row>
    <row r="280" spans="2:10">
      <c r="B280" s="9"/>
      <c r="C280" s="12" t="s">
        <v>397</v>
      </c>
      <c r="D280" s="5">
        <v>1.6</v>
      </c>
      <c r="E280" s="7"/>
    </row>
    <row r="281" spans="2:10">
      <c r="B281" s="9"/>
      <c r="C281" s="12" t="s">
        <v>398</v>
      </c>
      <c r="D281" s="5">
        <v>0.2</v>
      </c>
      <c r="E281" s="7"/>
    </row>
    <row r="282" spans="2:10">
      <c r="B282" s="9"/>
      <c r="C282" s="17"/>
      <c r="D282" s="9"/>
      <c r="E282" s="7"/>
    </row>
    <row r="283" spans="2:10" ht="202.5" customHeight="1">
      <c r="B283" s="9"/>
      <c r="C283" s="11"/>
      <c r="D283" s="7"/>
      <c r="E283" s="7"/>
    </row>
    <row r="284" spans="2:10" ht="236.25" customHeight="1">
      <c r="B284" s="9"/>
      <c r="C284" s="11"/>
      <c r="D284" s="7"/>
      <c r="E284" s="7"/>
    </row>
    <row r="285" spans="2:10" ht="114" customHeight="1">
      <c r="B285" s="9"/>
      <c r="C285" s="11"/>
      <c r="D285" s="7"/>
      <c r="E285" s="7"/>
    </row>
    <row r="286" spans="2:10" ht="202.5" customHeight="1">
      <c r="B286" s="9"/>
      <c r="C286" s="11"/>
      <c r="D286" s="7"/>
      <c r="E286" s="7"/>
    </row>
    <row r="287" spans="2:10" ht="122.25" customHeight="1">
      <c r="B287" s="9" t="s">
        <v>303</v>
      </c>
      <c r="C287" s="11" t="s">
        <v>311</v>
      </c>
      <c r="D287" s="7">
        <f>0.11*((D53*D5/1000))</f>
        <v>9.9</v>
      </c>
      <c r="E287" s="7"/>
    </row>
    <row r="288" spans="2:10" ht="122.25" customHeight="1">
      <c r="B288" s="9"/>
      <c r="C288" s="11" t="s">
        <v>417</v>
      </c>
      <c r="D288" s="7">
        <f>((D175*D120)/(2*D130))*D167/1000</f>
        <v>9.6347025267263978E-2</v>
      </c>
      <c r="E288" s="7"/>
    </row>
    <row r="289" spans="2:5" ht="75" customHeight="1">
      <c r="B289" s="9"/>
      <c r="C289" s="11" t="s">
        <v>418</v>
      </c>
      <c r="D289" s="7">
        <f>(D182/1000)*(D167/1000)*D124*D39*I268*I267</f>
        <v>4.4707674370321353</v>
      </c>
      <c r="E289" s="7"/>
    </row>
    <row r="290" spans="2:5" ht="75" customHeight="1">
      <c r="B290" s="9"/>
      <c r="C290" s="11" t="s">
        <v>674</v>
      </c>
      <c r="D290" s="7">
        <f>D145</f>
        <v>4.9393009048114855</v>
      </c>
      <c r="E290" s="7"/>
    </row>
    <row r="291" spans="2:5" ht="258.75" customHeight="1">
      <c r="B291" s="9"/>
      <c r="C291" s="11"/>
      <c r="D291" s="7"/>
      <c r="E291" s="7"/>
    </row>
    <row r="292" spans="2:5" ht="170.25" customHeight="1">
      <c r="B292" s="9"/>
      <c r="C292" s="11"/>
      <c r="D292" s="7"/>
      <c r="E292" s="7"/>
    </row>
    <row r="293" spans="2:5" ht="84" customHeight="1">
      <c r="B293" s="9" t="s">
        <v>304</v>
      </c>
      <c r="C293" s="11" t="s">
        <v>312</v>
      </c>
      <c r="D293" s="7">
        <f>D277+D287</f>
        <v>24.26940990491314</v>
      </c>
      <c r="E293" s="7"/>
    </row>
    <row r="294" spans="2:5" ht="106.5" customHeight="1">
      <c r="B294" s="9" t="s">
        <v>305</v>
      </c>
      <c r="C294" s="11" t="s">
        <v>313</v>
      </c>
      <c r="D294" s="7">
        <f>D261+D293</f>
        <v>1452.539535891098</v>
      </c>
      <c r="E294" s="7"/>
    </row>
    <row r="295" spans="2:5" ht="121.5" customHeight="1">
      <c r="B295" s="9" t="s">
        <v>306</v>
      </c>
      <c r="C295" s="11" t="s">
        <v>420</v>
      </c>
      <c r="D295" s="7">
        <f>D297*((D5/1000)^2)*((10*D19)^3)</f>
        <v>175.90977728409607</v>
      </c>
      <c r="E295" s="7"/>
    </row>
    <row r="296" spans="2:5" ht="121.5" customHeight="1">
      <c r="B296" s="9"/>
      <c r="C296" s="11" t="s">
        <v>421</v>
      </c>
      <c r="D296" s="7">
        <f>D297*((D5/10)^2)*(D13^4)</f>
        <v>2955.7614182400007</v>
      </c>
      <c r="E296" s="7"/>
    </row>
    <row r="297" spans="2:5" ht="121.5" customHeight="1">
      <c r="B297" s="9"/>
      <c r="C297" s="12" t="s">
        <v>419</v>
      </c>
      <c r="D297" s="5">
        <v>6</v>
      </c>
      <c r="E297" s="7"/>
    </row>
    <row r="298" spans="2:5" ht="277.5" customHeight="1">
      <c r="B298" s="9"/>
      <c r="C298" s="11"/>
      <c r="D298" s="7"/>
      <c r="E298" s="7"/>
    </row>
    <row r="299" spans="2:5" ht="119.25" customHeight="1">
      <c r="B299" s="9"/>
      <c r="C299" s="11"/>
      <c r="D299" s="7"/>
      <c r="E299" s="7"/>
    </row>
    <row r="300" spans="2:5" ht="212.25" customHeight="1">
      <c r="B300" s="9"/>
      <c r="C300" s="11"/>
      <c r="D300" s="7"/>
      <c r="E300" s="7"/>
    </row>
    <row r="301" spans="2:5" ht="116.25" customHeight="1">
      <c r="B301" s="9" t="s">
        <v>307</v>
      </c>
      <c r="C301" s="11" t="s">
        <v>314</v>
      </c>
      <c r="D301" s="7">
        <f>0.005*(D4/D22)</f>
        <v>125</v>
      </c>
      <c r="E301" s="7"/>
    </row>
    <row r="302" spans="2:5" ht="91.5" customHeight="1">
      <c r="B302" s="9" t="s">
        <v>308</v>
      </c>
      <c r="C302" s="11" t="s">
        <v>315</v>
      </c>
      <c r="D302" s="7">
        <f>(D303^2+D198^2)^0.5</f>
        <v>6.4453741391541364</v>
      </c>
      <c r="E302" s="7"/>
    </row>
    <row r="303" spans="2:5" ht="106.5" customHeight="1">
      <c r="B303" s="9"/>
      <c r="C303" s="11" t="s">
        <v>408</v>
      </c>
      <c r="D303" s="7">
        <f>((D294+D296+D304)/(D52*D6))</f>
        <v>3.878953528901373</v>
      </c>
      <c r="E303" s="7"/>
    </row>
    <row r="304" spans="2:5" ht="106.5" customHeight="1">
      <c r="B304" s="9"/>
      <c r="C304" s="11" t="s">
        <v>409</v>
      </c>
      <c r="D304" s="7">
        <f>D52*(D198^2)*D204</f>
        <v>13.706068816466738</v>
      </c>
      <c r="E304" s="7"/>
    </row>
    <row r="305" spans="2:5" ht="102.75" customHeight="1">
      <c r="B305" s="9" t="s">
        <v>309</v>
      </c>
      <c r="C305" s="11" t="s">
        <v>316</v>
      </c>
      <c r="D305" s="7">
        <f>D303/D302</f>
        <v>0.60181976176334595</v>
      </c>
      <c r="E305" s="7"/>
    </row>
    <row r="307" spans="2:5" ht="87.75" customHeight="1"/>
    <row r="309" spans="2:5">
      <c r="B309" s="9" t="s">
        <v>317</v>
      </c>
      <c r="C309" s="11" t="s">
        <v>357</v>
      </c>
      <c r="D309" s="7"/>
      <c r="E309" s="7"/>
    </row>
    <row r="310" spans="2:5" ht="102.75" customHeight="1">
      <c r="B310" s="9"/>
      <c r="C310" s="11" t="s">
        <v>410</v>
      </c>
      <c r="D310" s="7">
        <f>D261/(D52*(D198^2))</f>
        <v>17.967989451163497</v>
      </c>
      <c r="E310" s="7"/>
    </row>
    <row r="311" spans="2:5" ht="114" customHeight="1">
      <c r="B311" s="9"/>
      <c r="C311" s="11" t="s">
        <v>411</v>
      </c>
      <c r="D311" s="7">
        <f>D6/D198</f>
        <v>73.82250700464256</v>
      </c>
      <c r="E311" s="7"/>
    </row>
    <row r="312" spans="2:5" ht="123.75" customHeight="1">
      <c r="B312" s="9"/>
      <c r="C312" s="11" t="s">
        <v>412</v>
      </c>
      <c r="D312" s="7">
        <f>1+(D223/D311)</f>
        <v>1.0057473673407722</v>
      </c>
      <c r="E312" s="7"/>
    </row>
    <row r="313" spans="2:5" ht="99" customHeight="1">
      <c r="B313" s="9" t="s">
        <v>318</v>
      </c>
      <c r="C313" s="11" t="s">
        <v>360</v>
      </c>
      <c r="D313" s="7">
        <f>(D261+3*D198^2*D204)/(3*D6)</f>
        <v>1.2648913989496944</v>
      </c>
      <c r="E313" s="7"/>
    </row>
    <row r="314" spans="2:5" ht="99" customHeight="1">
      <c r="B314" s="9"/>
      <c r="C314" s="11"/>
      <c r="D314" s="7">
        <f>D312^2</f>
        <v>1.0115277669128941</v>
      </c>
      <c r="E314" s="7"/>
    </row>
    <row r="315" spans="2:5" ht="80.25" customHeight="1">
      <c r="B315" s="9"/>
      <c r="C315" s="11"/>
      <c r="D315" s="7">
        <f>D312*D204</f>
        <v>0.17341671048980292</v>
      </c>
      <c r="E315" s="7"/>
    </row>
    <row r="316" spans="2:5" ht="84" customHeight="1">
      <c r="B316" s="9"/>
      <c r="C316" s="11"/>
      <c r="D316" s="7">
        <v>0</v>
      </c>
      <c r="E316" s="7"/>
    </row>
    <row r="317" spans="2:5" ht="99" customHeight="1">
      <c r="B317" s="9"/>
      <c r="C317" s="11"/>
      <c r="D317" s="7">
        <f>D312*(D223+D312*D250)</f>
        <v>0.42706554732176233</v>
      </c>
      <c r="E317" s="7"/>
    </row>
    <row r="318" spans="2:5">
      <c r="B318" s="9" t="s">
        <v>319</v>
      </c>
      <c r="C318" s="11" t="s">
        <v>359</v>
      </c>
      <c r="D318" s="7"/>
      <c r="E318" s="7"/>
    </row>
    <row r="319" spans="2:5">
      <c r="B319" s="9" t="s">
        <v>320</v>
      </c>
      <c r="C319" s="11" t="s">
        <v>358</v>
      </c>
      <c r="D319" s="7"/>
      <c r="E319" s="7"/>
    </row>
    <row r="320" spans="2:5" ht="204.75" customHeight="1">
      <c r="B320" s="9"/>
      <c r="C320" s="11"/>
      <c r="D320" s="7"/>
      <c r="E320" s="7"/>
    </row>
    <row r="321" spans="2:5" ht="228.75" customHeight="1">
      <c r="B321" s="9"/>
      <c r="C321" s="11"/>
      <c r="D321" s="7"/>
      <c r="E321" s="7"/>
    </row>
    <row r="322" spans="2:5" ht="236.25" customHeight="1">
      <c r="B322" s="9"/>
      <c r="C322" s="11"/>
      <c r="D322" s="7"/>
      <c r="E322" s="7"/>
    </row>
    <row r="323" spans="2:5">
      <c r="B323" s="10"/>
      <c r="C323" s="15"/>
      <c r="D323" s="6"/>
      <c r="E323" s="6"/>
    </row>
    <row r="324" spans="2:5" ht="31.5" customHeight="1"/>
    <row r="326" spans="2:5" ht="57" customHeight="1">
      <c r="B326" s="9" t="s">
        <v>321</v>
      </c>
      <c r="C326" s="11" t="s">
        <v>361</v>
      </c>
      <c r="D326" s="7"/>
      <c r="E326" s="7"/>
    </row>
    <row r="327" spans="2:5" ht="105" customHeight="1">
      <c r="B327" s="9"/>
      <c r="C327" s="11" t="s">
        <v>362</v>
      </c>
      <c r="D327" s="7">
        <f>D221/((D223/D312)+D255)</f>
        <v>8.0364894036116338E-2</v>
      </c>
      <c r="E327" s="7"/>
    </row>
    <row r="328" spans="2:5" ht="105" customHeight="1">
      <c r="B328" s="9"/>
      <c r="C328" s="12" t="s">
        <v>678</v>
      </c>
      <c r="D328" s="5">
        <v>1</v>
      </c>
      <c r="E328" s="7"/>
    </row>
    <row r="329" spans="2:5" ht="57" customHeight="1">
      <c r="B329" s="9" t="s">
        <v>322</v>
      </c>
      <c r="C329" s="11" t="s">
        <v>363</v>
      </c>
      <c r="D329" s="7"/>
      <c r="E329" s="7"/>
    </row>
    <row r="330" spans="2:5" ht="66.75" customHeight="1">
      <c r="B330" s="9"/>
      <c r="C330" s="11" t="s">
        <v>413</v>
      </c>
      <c r="D330" s="7">
        <f>(D151-D143-D142)/1000</f>
        <v>1.8173678808296234E-2</v>
      </c>
      <c r="E330" s="7"/>
    </row>
    <row r="331" spans="2:5" ht="63.75" customHeight="1">
      <c r="B331" s="9" t="s">
        <v>323</v>
      </c>
      <c r="C331" s="12" t="s">
        <v>364</v>
      </c>
      <c r="D331" s="5">
        <v>0.12</v>
      </c>
      <c r="E331" s="7"/>
    </row>
    <row r="332" spans="2:5" ht="82.5" customHeight="1">
      <c r="B332" s="9"/>
      <c r="C332" s="12" t="s">
        <v>364</v>
      </c>
      <c r="D332" s="5">
        <f>0.1</f>
        <v>0.1</v>
      </c>
      <c r="E332" s="7"/>
    </row>
    <row r="333" spans="2:5" ht="82.5" customHeight="1">
      <c r="B333" s="9"/>
      <c r="C333" s="107" t="s">
        <v>675</v>
      </c>
      <c r="D333" s="108">
        <f>65.15*D330*D328</f>
        <v>1.1840151743604999</v>
      </c>
      <c r="E333" s="7"/>
    </row>
    <row r="334" spans="2:5" ht="82.5" customHeight="1">
      <c r="B334" s="9"/>
      <c r="C334" s="107" t="s">
        <v>676</v>
      </c>
      <c r="D334" s="108">
        <f>65.61*D330*D328</f>
        <v>1.1923750666123158</v>
      </c>
      <c r="E334" s="7"/>
    </row>
    <row r="335" spans="2:5" ht="208.5" customHeight="1">
      <c r="B335" s="9"/>
      <c r="C335" s="11"/>
      <c r="D335" s="7"/>
      <c r="E335" s="7"/>
    </row>
    <row r="336" spans="2:5" ht="174.75" customHeight="1">
      <c r="B336" s="9"/>
      <c r="C336" s="11"/>
      <c r="D336" s="7"/>
      <c r="E336" s="7"/>
    </row>
    <row r="337" spans="2:9" ht="208.5" customHeight="1">
      <c r="B337" s="9"/>
      <c r="C337" s="11"/>
      <c r="D337" s="7"/>
      <c r="E337" s="7"/>
    </row>
    <row r="338" spans="2:9" ht="260.25" customHeight="1">
      <c r="B338" s="9"/>
      <c r="C338" s="11"/>
      <c r="D338" s="7"/>
      <c r="E338" s="7"/>
    </row>
    <row r="339" spans="2:9" ht="93.75" customHeight="1">
      <c r="B339" s="9" t="s">
        <v>324</v>
      </c>
      <c r="C339" s="11" t="s">
        <v>365</v>
      </c>
      <c r="D339" s="7">
        <f>(D330/(1+D331))*1000</f>
        <v>16.226498935978778</v>
      </c>
      <c r="E339" s="7"/>
    </row>
    <row r="340" spans="2:9" ht="63.75" customHeight="1">
      <c r="B340" s="9" t="s">
        <v>325</v>
      </c>
      <c r="C340" s="11" t="s">
        <v>369</v>
      </c>
      <c r="D340" s="7"/>
      <c r="E340" s="7"/>
      <c r="H340" s="11" t="s">
        <v>635</v>
      </c>
      <c r="I340" s="7">
        <f>D149/2</f>
        <v>2.2256377323732521</v>
      </c>
    </row>
    <row r="341" spans="2:9" ht="228" customHeight="1">
      <c r="B341" s="9"/>
      <c r="C341" s="11"/>
      <c r="D341" s="7"/>
      <c r="E341" s="7"/>
    </row>
    <row r="342" spans="2:9" ht="228.75" customHeight="1">
      <c r="B342" s="9"/>
      <c r="C342" s="11"/>
      <c r="D342" s="7"/>
      <c r="E342" s="7"/>
    </row>
    <row r="343" spans="2:9" ht="108.75" customHeight="1">
      <c r="B343" s="9"/>
      <c r="C343" s="11" t="s">
        <v>637</v>
      </c>
      <c r="D343" s="7">
        <f>(D149-(D149-D147/D150))*(D339-I340)</f>
        <v>7.2307079242304857</v>
      </c>
      <c r="E343" s="7"/>
    </row>
    <row r="344" spans="2:9" ht="114" customHeight="1">
      <c r="B344" s="9"/>
      <c r="C344" s="11" t="s">
        <v>636</v>
      </c>
      <c r="D344" s="7">
        <f>((3.14*(D149^2))/8)+((D149+D343)/2)*(D339-I340)</f>
        <v>89.555851411694846</v>
      </c>
      <c r="E344" s="7"/>
    </row>
    <row r="345" spans="2:9" ht="120" customHeight="1">
      <c r="B345" s="9"/>
      <c r="C345" s="11" t="s">
        <v>636</v>
      </c>
      <c r="D345" s="7">
        <f>(3.14*(D149^2))/4</f>
        <v>15.553874811497552</v>
      </c>
      <c r="E345" s="7"/>
    </row>
    <row r="346" spans="2:9" ht="54" customHeight="1">
      <c r="B346" s="9"/>
      <c r="C346" s="12" t="s">
        <v>414</v>
      </c>
      <c r="D346" s="5">
        <f>D345</f>
        <v>15.553874811497552</v>
      </c>
      <c r="E346" s="7"/>
    </row>
    <row r="347" spans="2:9" ht="105" customHeight="1">
      <c r="B347" s="9" t="s">
        <v>326</v>
      </c>
      <c r="C347" s="11" t="s">
        <v>366</v>
      </c>
      <c r="D347" s="7">
        <f>D152/D346</f>
        <v>6.0622198644750842</v>
      </c>
      <c r="E347" s="7"/>
    </row>
    <row r="348" spans="2:9" ht="104.25" customHeight="1">
      <c r="B348" s="9" t="s">
        <v>327</v>
      </c>
      <c r="C348" s="11" t="s">
        <v>367</v>
      </c>
      <c r="D348" s="7">
        <f>1+(D217/D216)*(D347-1)*D217</f>
        <v>1.00000000212553</v>
      </c>
      <c r="E348" s="7"/>
    </row>
    <row r="349" spans="2:9" ht="69" customHeight="1">
      <c r="B349" s="9" t="s">
        <v>328</v>
      </c>
      <c r="C349" s="11" t="s">
        <v>368</v>
      </c>
      <c r="D349" s="7">
        <f>D348*D221</f>
        <v>0.10632425424222727</v>
      </c>
      <c r="E349" s="7"/>
    </row>
    <row r="350" spans="2:9" ht="78.75" customHeight="1">
      <c r="B350" s="9" t="s">
        <v>329</v>
      </c>
      <c r="C350" s="11" t="s">
        <v>376</v>
      </c>
      <c r="D350" s="7">
        <f>D251-D370</f>
        <v>1.0763431900628955</v>
      </c>
      <c r="E350" s="7"/>
    </row>
    <row r="351" spans="2:9" ht="78.75" customHeight="1">
      <c r="B351" s="9"/>
      <c r="C351" s="12" t="s">
        <v>677</v>
      </c>
      <c r="D351" s="5">
        <v>3.3</v>
      </c>
      <c r="E351" s="7"/>
    </row>
    <row r="352" spans="2:9" ht="408.75" customHeight="1">
      <c r="B352" s="9"/>
      <c r="C352" s="11"/>
      <c r="D352" s="7"/>
      <c r="E352" s="7"/>
    </row>
    <row r="353" spans="2:5" ht="127.5" customHeight="1">
      <c r="B353" s="9" t="s">
        <v>330</v>
      </c>
      <c r="C353" s="11" t="s">
        <v>370</v>
      </c>
      <c r="D353" s="7">
        <f>(D350+D254+D252)/(D251+D252+D254)</f>
        <v>0.92585240167174065</v>
      </c>
      <c r="E353" s="7"/>
    </row>
    <row r="354" spans="2:5" ht="80.25" customHeight="1">
      <c r="B354" s="9" t="s">
        <v>331</v>
      </c>
      <c r="C354" s="11" t="s">
        <v>371</v>
      </c>
      <c r="D354" s="7">
        <f>D255*D353</f>
        <v>0.83433946186606622</v>
      </c>
      <c r="E354" s="7"/>
    </row>
    <row r="355" spans="2:5" ht="141" customHeight="1">
      <c r="B355" s="9" t="s">
        <v>332</v>
      </c>
      <c r="C355" s="11" t="s">
        <v>372</v>
      </c>
      <c r="D355" s="7">
        <f>D6/(((((D204+D349)^2)/D327)+(D223+D354)^2)^0.5)</f>
        <v>237.91881697439163</v>
      </c>
      <c r="E355" s="7"/>
    </row>
    <row r="356" spans="2:5" ht="133.5" customHeight="1">
      <c r="B356" s="9" t="s">
        <v>333</v>
      </c>
      <c r="C356" s="11" t="s">
        <v>373</v>
      </c>
      <c r="D356" s="7">
        <f>((0.7*D357*D58*D62)/D59)*(D234+D67*D65*(D53/D124))</f>
        <v>596.35742560487995</v>
      </c>
      <c r="E356" s="7"/>
    </row>
    <row r="357" spans="2:5" ht="133.5" customHeight="1">
      <c r="B357" s="9"/>
      <c r="C357" s="12" t="s">
        <v>641</v>
      </c>
      <c r="D357" s="5">
        <v>1.3</v>
      </c>
      <c r="E357" s="7"/>
    </row>
    <row r="358" spans="2:5" ht="176.25" customHeight="1">
      <c r="B358" s="9"/>
      <c r="C358" s="11"/>
      <c r="D358" s="7"/>
      <c r="E358" s="7"/>
    </row>
    <row r="359" spans="2:5" ht="302.25" customHeight="1">
      <c r="B359" s="9"/>
      <c r="C359" s="11"/>
      <c r="D359" s="7"/>
      <c r="E359" s="7"/>
    </row>
    <row r="360" spans="2:5" ht="117" customHeight="1">
      <c r="B360" s="9" t="s">
        <v>334</v>
      </c>
      <c r="C360" s="11" t="s">
        <v>374</v>
      </c>
      <c r="D360" s="7">
        <f>(D356/(1.6*D120*D361))/(10^3)</f>
        <v>0.56038825082953159</v>
      </c>
      <c r="E360" s="7"/>
    </row>
    <row r="361" spans="2:5" ht="131.25" customHeight="1">
      <c r="B361" s="9"/>
      <c r="C361" s="11"/>
      <c r="D361" s="7">
        <f>0.64+2.5*(D120/((D55+D130)*1000))^0.5</f>
        <v>1.0232559313910146</v>
      </c>
      <c r="E361" s="7"/>
    </row>
    <row r="362" spans="2:5" ht="71.25" customHeight="1">
      <c r="B362" s="9" t="s">
        <v>335</v>
      </c>
      <c r="C362" s="12" t="s">
        <v>375</v>
      </c>
      <c r="D362" s="5">
        <v>0.45</v>
      </c>
      <c r="E362" s="7"/>
    </row>
    <row r="363" spans="2:5" ht="354" customHeight="1">
      <c r="B363" s="9"/>
      <c r="C363" s="11"/>
      <c r="D363" s="7"/>
      <c r="E363" s="7"/>
    </row>
    <row r="364" spans="2:5" ht="67.5" customHeight="1">
      <c r="B364" s="9" t="s">
        <v>336</v>
      </c>
      <c r="C364" s="11" t="s">
        <v>377</v>
      </c>
      <c r="D364" s="7">
        <f>D237-D365</f>
        <v>0.94454185728786755</v>
      </c>
      <c r="E364" s="7"/>
    </row>
    <row r="365" spans="2:5" ht="107.25" customHeight="1">
      <c r="B365" s="9"/>
      <c r="C365" s="11"/>
      <c r="D365" s="7">
        <f>((D142+0.58*D143)/D141)*(D367/(D367+1.5*D141))</f>
        <v>0.36123103475176277</v>
      </c>
      <c r="E365" s="7"/>
    </row>
    <row r="366" spans="2:5" ht="96" customHeight="1">
      <c r="B366" s="9" t="s">
        <v>337</v>
      </c>
      <c r="C366" s="11" t="s">
        <v>378</v>
      </c>
      <c r="D366" s="7">
        <f>D236*D362</f>
        <v>0.10317679413712312</v>
      </c>
      <c r="E366" s="11"/>
    </row>
    <row r="367" spans="2:5" ht="71.25" customHeight="1">
      <c r="B367" s="9"/>
      <c r="C367" s="11"/>
      <c r="D367" s="7">
        <f>(D55*1000-D141)*(1-D362)</f>
        <v>7.7086826666666681</v>
      </c>
      <c r="E367" s="11"/>
    </row>
    <row r="368" spans="2:5" ht="102" customHeight="1">
      <c r="B368" s="9" t="s">
        <v>338</v>
      </c>
      <c r="C368" s="11" t="s">
        <v>379</v>
      </c>
      <c r="D368" s="7">
        <f>D223*(D365+D366+D235)/(D237+D236+D235)</f>
        <v>0.13529774567590622</v>
      </c>
      <c r="E368" s="7"/>
    </row>
    <row r="369" spans="2:5" ht="90" customHeight="1">
      <c r="B369" s="9" t="s">
        <v>339</v>
      </c>
      <c r="C369" s="11" t="s">
        <v>380</v>
      </c>
      <c r="D369" s="7">
        <f>D251-D370</f>
        <v>1.0763431900628955</v>
      </c>
      <c r="E369" s="7"/>
    </row>
    <row r="370" spans="2:5" ht="90" customHeight="1">
      <c r="B370" s="9"/>
      <c r="C370" s="11"/>
      <c r="D370" s="7">
        <f>(D142/D141)*(D371/(D141+D371))</f>
        <v>0.3714678984385183</v>
      </c>
      <c r="E370" s="7"/>
    </row>
    <row r="371" spans="2:5" ht="90" customHeight="1">
      <c r="B371" s="9"/>
      <c r="C371" s="11"/>
      <c r="D371" s="7">
        <f>(D130*1000-D141)*(1-D362)</f>
        <v>5.853036315789474</v>
      </c>
      <c r="E371" s="7"/>
    </row>
    <row r="372" spans="2:5" ht="60" customHeight="1">
      <c r="B372" s="9" t="s">
        <v>340</v>
      </c>
      <c r="C372" s="11" t="s">
        <v>381</v>
      </c>
      <c r="D372" s="7">
        <f>D252*D362</f>
        <v>0.1786165220684896</v>
      </c>
      <c r="E372" s="7"/>
    </row>
    <row r="373" spans="2:5" ht="91.5" customHeight="1">
      <c r="B373" s="9" t="s">
        <v>341</v>
      </c>
      <c r="C373" s="11" t="s">
        <v>371</v>
      </c>
      <c r="D373" s="7">
        <f>D255*(D370+D372+D254)/(D251+D252+D254)</f>
        <v>0.66827937059545739</v>
      </c>
      <c r="E373" s="7"/>
    </row>
    <row r="374" spans="2:5" ht="96" customHeight="1">
      <c r="B374" s="9" t="s">
        <v>342</v>
      </c>
      <c r="C374" s="11" t="s">
        <v>382</v>
      </c>
      <c r="D374" s="7">
        <f>D311*D197</f>
        <v>119.13904368560196</v>
      </c>
      <c r="E374" s="7"/>
    </row>
    <row r="375" spans="2:5" ht="102" customHeight="1">
      <c r="B375" s="48" t="s">
        <v>343</v>
      </c>
      <c r="C375" s="47" t="s">
        <v>383</v>
      </c>
      <c r="D375" s="49">
        <f>D6/((D378^2+D379^2)^0.5)</f>
        <v>223.61429782859881</v>
      </c>
      <c r="E375" s="49"/>
    </row>
    <row r="376" spans="2:5" ht="112.5" customHeight="1">
      <c r="B376" s="50"/>
      <c r="C376" s="51"/>
      <c r="D376" s="41">
        <f>D375*((D378^2+(D379+D374)^2)^0.5)/(D377*D374)</f>
        <v>224.88611612585092</v>
      </c>
      <c r="E376" s="41"/>
    </row>
    <row r="377" spans="2:5" ht="114.75" customHeight="1">
      <c r="B377" s="9"/>
      <c r="C377" s="11"/>
      <c r="D377" s="7">
        <f>1+D368/D374</f>
        <v>1.0011356289381754</v>
      </c>
      <c r="E377" s="7"/>
    </row>
    <row r="378" spans="2:5" ht="81" customHeight="1">
      <c r="B378" s="9"/>
      <c r="C378" s="11"/>
      <c r="D378" s="7">
        <f>D204+(D377*D349)/D327</f>
        <v>1.4969468326353472</v>
      </c>
      <c r="E378" s="7"/>
    </row>
    <row r="379" spans="2:5" ht="57.75" customHeight="1">
      <c r="B379" s="9"/>
      <c r="C379" s="11"/>
      <c r="D379" s="7">
        <f>D368+D377*D373</f>
        <v>0.80433603366339745</v>
      </c>
      <c r="E379" s="7"/>
    </row>
    <row r="380" spans="2:5" ht="81" customHeight="1">
      <c r="B380" s="9" t="s">
        <v>344</v>
      </c>
      <c r="C380" s="11" t="s">
        <v>384</v>
      </c>
      <c r="D380" s="40">
        <f>D376/D58</f>
        <v>9.0242300678981469</v>
      </c>
      <c r="E380" s="7"/>
    </row>
    <row r="381" spans="2:5" ht="93" customHeight="1">
      <c r="B381" s="9" t="s">
        <v>345</v>
      </c>
      <c r="C381" s="11" t="s">
        <v>385</v>
      </c>
      <c r="D381" s="7">
        <f>((D375/(D58^2))^2)*D348</f>
        <v>0.12965497856017322</v>
      </c>
      <c r="E381" s="7"/>
    </row>
    <row r="382" spans="2:5" ht="102.75" customHeight="1">
      <c r="B382" s="9"/>
      <c r="C382" s="11"/>
      <c r="D382" s="7">
        <f>((D375/(D58))^2)*D348</f>
        <v>80.518220482442842</v>
      </c>
      <c r="E382" s="7"/>
    </row>
    <row r="383" spans="2:5" ht="55.5" customHeight="1">
      <c r="B383" s="9"/>
      <c r="C383" s="11"/>
      <c r="D383" s="7"/>
      <c r="E383" s="7"/>
    </row>
    <row r="384" spans="2:5" ht="53.25" customHeight="1">
      <c r="B384" s="9"/>
      <c r="C384" s="11"/>
      <c r="D384" s="7"/>
      <c r="E384" s="7"/>
    </row>
    <row r="385" spans="2:5" ht="81" customHeight="1">
      <c r="B385" s="9" t="s">
        <v>346</v>
      </c>
      <c r="C385" s="11" t="s">
        <v>386</v>
      </c>
      <c r="D385" s="7">
        <f>D221/((D368/D377)+D373)</f>
        <v>0.13233896588110369</v>
      </c>
      <c r="E385" s="7"/>
    </row>
    <row r="387" spans="2:5" ht="31.5" customHeight="1"/>
    <row r="389" spans="2:5" ht="78.75" customHeight="1">
      <c r="B389" s="9" t="s">
        <v>347</v>
      </c>
      <c r="C389" s="11" t="s">
        <v>387</v>
      </c>
      <c r="D389" s="7">
        <f>D390*(D396+D261)/(3.14*D19*D208*D423)</f>
        <v>2.8083255544689178E-4</v>
      </c>
      <c r="E389" s="7"/>
    </row>
    <row r="390" spans="2:5" ht="78.75" customHeight="1">
      <c r="B390" s="9"/>
      <c r="C390" s="11" t="s">
        <v>642</v>
      </c>
      <c r="D390" s="7">
        <v>0.22</v>
      </c>
      <c r="E390" s="7"/>
    </row>
    <row r="391" spans="2:5" ht="223.5" customHeight="1">
      <c r="B391" s="9"/>
      <c r="C391" s="11"/>
      <c r="D391" s="7"/>
      <c r="E391" s="7"/>
    </row>
    <row r="392" spans="2:5" ht="78.75" customHeight="1">
      <c r="B392" s="9"/>
      <c r="C392" s="11" t="s">
        <v>643</v>
      </c>
      <c r="D392" s="7">
        <v>1.1499999999999999</v>
      </c>
      <c r="E392" s="7"/>
    </row>
    <row r="393" spans="2:5" ht="78.75" customHeight="1">
      <c r="B393" s="9"/>
      <c r="C393" s="11" t="s">
        <v>644</v>
      </c>
      <c r="D393" s="7">
        <v>1.07</v>
      </c>
      <c r="E393" s="7"/>
    </row>
    <row r="394" spans="2:5" ht="78.75" customHeight="1">
      <c r="B394" s="9"/>
      <c r="C394" s="11" t="s">
        <v>645</v>
      </c>
      <c r="D394" s="7">
        <v>1.45</v>
      </c>
      <c r="E394" s="7"/>
    </row>
    <row r="395" spans="2:5" ht="78.75" customHeight="1">
      <c r="B395" s="9"/>
      <c r="C395" s="12" t="s">
        <v>646</v>
      </c>
      <c r="D395" s="5">
        <f>D392</f>
        <v>1.1499999999999999</v>
      </c>
      <c r="E395" s="7"/>
    </row>
    <row r="396" spans="2:5" ht="69" customHeight="1">
      <c r="B396" s="9"/>
      <c r="C396" s="11"/>
      <c r="D396" s="7">
        <f>D395*D397*2*D208/D209</f>
        <v>2964.8560711933624</v>
      </c>
      <c r="E396" s="7"/>
    </row>
    <row r="397" spans="2:5" ht="48.75" customHeight="1">
      <c r="B397" s="9"/>
      <c r="C397" s="11"/>
      <c r="D397" s="7">
        <f>D52*D58*D204</f>
        <v>12.890678570405925</v>
      </c>
      <c r="E397" s="7"/>
    </row>
    <row r="398" spans="2:5" ht="222" customHeight="1">
      <c r="B398" s="9"/>
      <c r="C398" s="11"/>
      <c r="D398" s="7"/>
      <c r="E398" s="7"/>
    </row>
    <row r="399" spans="2:5" ht="186" customHeight="1">
      <c r="B399" s="9"/>
      <c r="C399" s="11"/>
      <c r="D399" s="7"/>
      <c r="E399" s="7"/>
    </row>
    <row r="400" spans="2:5" ht="297" customHeight="1">
      <c r="B400" s="9"/>
      <c r="C400" s="11"/>
      <c r="D400" s="7"/>
      <c r="E400" s="7"/>
    </row>
    <row r="401" spans="2:5" ht="179.25" customHeight="1">
      <c r="B401" s="9"/>
      <c r="C401" s="11"/>
      <c r="D401" s="7"/>
      <c r="E401" s="7"/>
    </row>
    <row r="402" spans="2:5" ht="108" customHeight="1">
      <c r="B402" s="9" t="s">
        <v>348</v>
      </c>
      <c r="C402" s="11" t="s">
        <v>388</v>
      </c>
      <c r="D402" s="7">
        <f>D396/(D53*D208/1000*D403)*((I113/1000)/D404+(D105+D106)/1000/(16*D404))</f>
        <v>0.45299166485030073</v>
      </c>
      <c r="E402" s="7"/>
    </row>
    <row r="403" spans="2:5" ht="45.75" customHeight="1">
      <c r="B403" s="9"/>
      <c r="C403" s="11"/>
      <c r="D403" s="7">
        <f>(2*D104+D105+D106)/1000</f>
        <v>7.5270798988274157E-2</v>
      </c>
      <c r="E403" s="7"/>
    </row>
    <row r="404" spans="2:5" ht="48.75" customHeight="1">
      <c r="B404" s="9"/>
      <c r="C404" s="12" t="s">
        <v>647</v>
      </c>
      <c r="D404" s="5">
        <v>0.11</v>
      </c>
      <c r="E404" s="7"/>
    </row>
    <row r="405" spans="2:5" ht="135.75" customHeight="1">
      <c r="B405" s="9"/>
      <c r="C405" s="11"/>
      <c r="D405" s="7"/>
      <c r="E405" s="7"/>
    </row>
    <row r="406" spans="2:5" ht="234" customHeight="1">
      <c r="B406" s="9"/>
      <c r="C406" s="11"/>
      <c r="D406" s="7"/>
      <c r="E406" s="7"/>
    </row>
    <row r="407" spans="2:5" ht="136.5" customHeight="1">
      <c r="B407" s="9"/>
      <c r="C407" s="11"/>
      <c r="D407" s="7"/>
      <c r="E407" s="7"/>
    </row>
    <row r="408" spans="2:5" ht="68.25" customHeight="1">
      <c r="B408" s="9"/>
      <c r="C408" s="44" t="s">
        <v>648</v>
      </c>
      <c r="D408" s="43">
        <f>I78</f>
        <v>1.26</v>
      </c>
      <c r="E408" s="7"/>
    </row>
    <row r="409" spans="2:5" ht="58.5" customHeight="1">
      <c r="B409" s="9"/>
      <c r="C409" s="44" t="s">
        <v>649</v>
      </c>
      <c r="D409" s="43">
        <f>I79</f>
        <v>1.18</v>
      </c>
      <c r="E409" s="7"/>
    </row>
    <row r="410" spans="2:5" ht="71.25" customHeight="1">
      <c r="B410" s="9"/>
      <c r="C410" s="11" t="s">
        <v>651</v>
      </c>
      <c r="D410" s="7">
        <f>D409/D408</f>
        <v>0.9365079365079364</v>
      </c>
      <c r="E410" s="7"/>
    </row>
    <row r="411" spans="2:5" ht="245.25" customHeight="1">
      <c r="B411" s="9"/>
      <c r="C411" s="11"/>
      <c r="D411" s="7"/>
      <c r="E411" s="7"/>
    </row>
    <row r="412" spans="2:5" ht="290.25" customHeight="1">
      <c r="B412" s="9"/>
      <c r="C412" s="11"/>
      <c r="D412" s="7"/>
      <c r="E412" s="7"/>
    </row>
    <row r="413" spans="2:5" ht="75.75" customHeight="1">
      <c r="B413" s="9" t="s">
        <v>349</v>
      </c>
      <c r="C413" s="11" t="s">
        <v>389</v>
      </c>
      <c r="D413" s="7">
        <f>D396/(2*D53*D208*D403)*(I113/D404+D104/(12*D404))</f>
        <v>0.29353176865383557</v>
      </c>
      <c r="E413" s="7"/>
    </row>
    <row r="414" spans="2:5" ht="96.75" customHeight="1">
      <c r="B414" s="9"/>
      <c r="C414" s="11"/>
      <c r="D414" s="7">
        <f>D395*D397*2*D210/D209</f>
        <v>4.2059330534564134</v>
      </c>
      <c r="E414" s="7"/>
    </row>
    <row r="415" spans="2:5" ht="90.75" customHeight="1">
      <c r="B415" s="9" t="s">
        <v>350</v>
      </c>
      <c r="C415" s="11" t="s">
        <v>390</v>
      </c>
      <c r="D415" s="7">
        <f>(D390*D414)/(2*3.14*D19*D416)</f>
        <v>4.8895137696426692E-2</v>
      </c>
      <c r="E415" s="7"/>
    </row>
    <row r="416" spans="2:5" ht="118.5" customHeight="1">
      <c r="B416" s="9"/>
      <c r="C416" s="11"/>
      <c r="D416" s="7">
        <f>D418*D211+D417</f>
        <v>20.327984127342752</v>
      </c>
      <c r="E416" s="7"/>
    </row>
    <row r="417" spans="2:5" ht="57" customHeight="1">
      <c r="B417" s="9"/>
      <c r="C417" s="12" t="s">
        <v>653</v>
      </c>
      <c r="D417" s="5">
        <f>0.01*1000</f>
        <v>10</v>
      </c>
      <c r="E417" s="7"/>
    </row>
    <row r="418" spans="2:5" ht="66" customHeight="1">
      <c r="B418" s="9"/>
      <c r="C418" s="12" t="s">
        <v>652</v>
      </c>
      <c r="D418" s="5">
        <f>0.26</f>
        <v>0.26</v>
      </c>
      <c r="E418" s="7"/>
    </row>
    <row r="419" spans="2:5" ht="90.75" customHeight="1">
      <c r="B419" s="9"/>
      <c r="C419" s="11"/>
      <c r="D419" s="40"/>
      <c r="E419" s="7"/>
    </row>
    <row r="420" spans="2:5" ht="90.75" customHeight="1">
      <c r="B420" s="9"/>
      <c r="C420" s="11"/>
      <c r="D420" s="7"/>
      <c r="E420" s="7"/>
    </row>
    <row r="421" spans="2:5" ht="180.75" customHeight="1">
      <c r="B421" s="9"/>
      <c r="C421" s="11"/>
      <c r="D421" s="7"/>
      <c r="E421" s="7"/>
    </row>
    <row r="422" spans="2:5" ht="70.5" customHeight="1">
      <c r="B422" s="9"/>
      <c r="C422" s="11"/>
      <c r="D422" s="7"/>
      <c r="E422" s="7"/>
    </row>
    <row r="423" spans="2:5" ht="75.75" customHeight="1">
      <c r="B423" s="9"/>
      <c r="C423" s="12" t="s">
        <v>654</v>
      </c>
      <c r="D423" s="5">
        <v>155</v>
      </c>
      <c r="E423" s="7"/>
    </row>
    <row r="424" spans="2:5" ht="72.75" customHeight="1">
      <c r="B424" s="9"/>
      <c r="C424" s="12" t="s">
        <v>655</v>
      </c>
      <c r="D424" s="5">
        <v>20</v>
      </c>
      <c r="E424" s="7"/>
    </row>
    <row r="425" spans="2:5" ht="209.25" customHeight="1">
      <c r="B425" s="9"/>
      <c r="C425" s="11"/>
      <c r="D425" s="7"/>
      <c r="E425" s="7"/>
    </row>
    <row r="426" spans="2:5" ht="285.75" customHeight="1">
      <c r="B426" s="9"/>
      <c r="C426" s="11"/>
      <c r="D426" s="7"/>
      <c r="E426" s="7"/>
    </row>
    <row r="427" spans="2:5" ht="169.5" customHeight="1">
      <c r="B427" s="9"/>
      <c r="C427" s="11"/>
      <c r="D427" s="7"/>
      <c r="E427" s="7"/>
    </row>
    <row r="428" spans="2:5" ht="88.5" customHeight="1">
      <c r="B428" s="9" t="s">
        <v>351</v>
      </c>
      <c r="C428" s="11" t="s">
        <v>391</v>
      </c>
      <c r="D428" s="7">
        <f>((D389+D402)*2*D208)/D209/1000+((D413+D415)*2*D208)/D209/1000</f>
        <v>0.15913988075120195</v>
      </c>
      <c r="E428" s="7"/>
    </row>
    <row r="429" spans="2:5" ht="93.75" customHeight="1">
      <c r="B429" s="9" t="s">
        <v>352</v>
      </c>
      <c r="C429" s="11" t="s">
        <v>392</v>
      </c>
      <c r="D429" s="7">
        <f>D431/(D435*D424)</f>
        <v>4.3077254268229197</v>
      </c>
      <c r="E429" s="7"/>
    </row>
    <row r="430" spans="2:5" ht="93.75" customHeight="1">
      <c r="B430" s="9"/>
      <c r="C430" s="11"/>
      <c r="D430" s="7"/>
      <c r="E430" s="7"/>
    </row>
    <row r="431" spans="2:5" ht="67.5" customHeight="1">
      <c r="B431" s="9"/>
      <c r="C431" s="11" t="s">
        <v>664</v>
      </c>
      <c r="D431" s="7">
        <f>D433-(1-D390)*(D414+D261)</f>
        <v>3512.9236964070451</v>
      </c>
      <c r="E431" s="7"/>
    </row>
    <row r="432" spans="2:5" ht="66" customHeight="1">
      <c r="B432" s="9"/>
      <c r="C432" s="11" t="s">
        <v>663</v>
      </c>
      <c r="D432" s="7">
        <f>D433-(1-D395)*(D396+D261)</f>
        <v>5289.2239520348976</v>
      </c>
      <c r="E432" s="7"/>
    </row>
    <row r="433" spans="2:5" ht="74.25" customHeight="1">
      <c r="B433" s="9"/>
      <c r="C433" s="11" t="s">
        <v>665</v>
      </c>
      <c r="D433" s="7">
        <f>'Рабочие и пусковые'!R60+(D395-1)*('Рабочие и пусковые'!R57+'Рабочие и пусковые'!R58)</f>
        <v>4630.2550224579654</v>
      </c>
      <c r="E433" s="7"/>
    </row>
    <row r="434" spans="2:5" ht="74.25" customHeight="1">
      <c r="B434" s="9"/>
      <c r="C434" s="11"/>
      <c r="D434" s="7"/>
      <c r="E434" s="7"/>
    </row>
    <row r="435" spans="2:5" ht="63" customHeight="1">
      <c r="B435" s="9"/>
      <c r="C435" s="16" t="s">
        <v>664</v>
      </c>
      <c r="D435" s="7">
        <f>3.14*D13*(D208/1000+2*D416/1000)</f>
        <v>40.774693699523169</v>
      </c>
      <c r="E435" s="7"/>
    </row>
    <row r="436" spans="2:5" ht="74.25" customHeight="1">
      <c r="B436" s="9"/>
      <c r="C436" s="11" t="s">
        <v>663</v>
      </c>
      <c r="D436" s="7">
        <f>(3.14*D13+8*0.32)*(D208/1000+2*D416/1000)</f>
        <v>162.99183479963008</v>
      </c>
      <c r="E436" s="7"/>
    </row>
    <row r="437" spans="2:5" ht="272.25" customHeight="1">
      <c r="B437" s="9"/>
      <c r="C437" s="11"/>
      <c r="D437" s="7"/>
      <c r="E437" s="7"/>
    </row>
    <row r="438" spans="2:5" ht="288.75" customHeight="1">
      <c r="B438" s="9"/>
      <c r="C438" s="11"/>
      <c r="D438" s="7"/>
      <c r="E438" s="7"/>
    </row>
    <row r="439" spans="2:5" ht="55.5" customHeight="1">
      <c r="B439" s="9" t="s">
        <v>353</v>
      </c>
      <c r="C439" s="11" t="s">
        <v>393</v>
      </c>
      <c r="D439" s="7">
        <f>D428+D429</f>
        <v>4.466865307574122</v>
      </c>
      <c r="E439" s="7"/>
    </row>
    <row r="440" spans="2:5" ht="75" customHeight="1">
      <c r="B440" s="9" t="s">
        <v>354</v>
      </c>
      <c r="C440" s="16" t="s">
        <v>394</v>
      </c>
      <c r="D440" s="2"/>
      <c r="E440" s="7"/>
    </row>
    <row r="441" spans="2:5" ht="75" customHeight="1">
      <c r="B441" s="9"/>
      <c r="C441" s="16" t="s">
        <v>664</v>
      </c>
      <c r="D441" s="7">
        <f>D432/(1100*D429)</f>
        <v>1.1162237455991126</v>
      </c>
      <c r="E441" s="7"/>
    </row>
    <row r="442" spans="2:5" ht="75" customHeight="1">
      <c r="B442" s="9"/>
      <c r="C442" s="16" t="s">
        <v>663</v>
      </c>
      <c r="D442" s="7">
        <f>D446*D431/(1100*D429)</f>
        <v>5.2943555772891226</v>
      </c>
      <c r="E442" s="7"/>
    </row>
    <row r="443" spans="2:5" ht="128.25" customHeight="1">
      <c r="B443" s="9"/>
      <c r="C443" s="16"/>
      <c r="D443" s="7"/>
      <c r="E443" s="7"/>
    </row>
    <row r="444" spans="2:5" ht="160.5" customHeight="1">
      <c r="B444" s="9"/>
      <c r="C444" s="16"/>
      <c r="D444" s="7"/>
      <c r="E444" s="7"/>
    </row>
    <row r="445" spans="2:5" ht="75" customHeight="1">
      <c r="B445" s="9"/>
      <c r="C445" s="103" t="s">
        <v>656</v>
      </c>
      <c r="D445" s="5">
        <v>2.5</v>
      </c>
      <c r="E445" s="7"/>
    </row>
    <row r="446" spans="2:5" ht="75" customHeight="1">
      <c r="B446" s="9"/>
      <c r="C446" s="16"/>
      <c r="D446" s="7">
        <f>D445*((D5/100)*D13)^0.5</f>
        <v>7.1414284285428495</v>
      </c>
      <c r="E446" s="7"/>
    </row>
    <row r="447" spans="2:5" ht="72" customHeight="1">
      <c r="B447" s="9" t="s">
        <v>355</v>
      </c>
      <c r="C447" s="11" t="s">
        <v>395</v>
      </c>
      <c r="D447" s="7"/>
      <c r="E447" s="7"/>
    </row>
    <row r="448" spans="2:5" ht="72" customHeight="1">
      <c r="B448" s="9"/>
      <c r="C448" s="11" t="s">
        <v>664</v>
      </c>
      <c r="D448" s="7">
        <f>D450*(D451*D457+0.1)*((D5/100)*D13^2)</f>
        <v>1.8093792897810994</v>
      </c>
      <c r="E448" s="7"/>
    </row>
    <row r="449" spans="2:5" ht="72" customHeight="1">
      <c r="B449" s="9"/>
      <c r="C449" s="11" t="s">
        <v>663</v>
      </c>
      <c r="D449" s="7">
        <f>0.6*D13^3*(D5/100)</f>
        <v>0.36222566400000006</v>
      </c>
      <c r="E449" s="7"/>
    </row>
    <row r="450" spans="2:5" ht="72" customHeight="1">
      <c r="B450" s="9"/>
      <c r="C450" s="12" t="s">
        <v>659</v>
      </c>
      <c r="D450" s="5">
        <v>2.6</v>
      </c>
      <c r="E450" s="7"/>
    </row>
    <row r="451" spans="2:5" ht="72" customHeight="1">
      <c r="B451" s="9"/>
      <c r="C451" s="11" t="s">
        <v>660</v>
      </c>
      <c r="D451" s="7">
        <f>D452/D458</f>
        <v>2.1354306852574831</v>
      </c>
      <c r="E451" s="7"/>
    </row>
    <row r="452" spans="2:5" ht="82.5" customHeight="1">
      <c r="B452" s="9"/>
      <c r="C452" s="44" t="s">
        <v>658</v>
      </c>
      <c r="D452" s="43">
        <f>D39</f>
        <v>0.17083445482059867</v>
      </c>
      <c r="E452" s="7"/>
    </row>
    <row r="453" spans="2:5" ht="147.75" customHeight="1">
      <c r="B453" s="9"/>
      <c r="C453" s="11"/>
      <c r="D453" s="7"/>
      <c r="E453" s="7"/>
    </row>
    <row r="454" spans="2:5" ht="111" customHeight="1">
      <c r="B454" s="9"/>
      <c r="C454" s="11"/>
      <c r="D454" s="7"/>
      <c r="E454" s="7"/>
    </row>
    <row r="455" spans="2:5" ht="131.25" customHeight="1">
      <c r="B455" s="9"/>
      <c r="C455" s="11"/>
      <c r="D455" s="7"/>
      <c r="E455" s="7"/>
    </row>
    <row r="456" spans="2:5" ht="116.25" customHeight="1">
      <c r="B456" s="9"/>
      <c r="C456" s="11"/>
      <c r="D456" s="7"/>
      <c r="E456" s="7"/>
    </row>
    <row r="457" spans="2:5" ht="82.5" customHeight="1">
      <c r="B457" s="9"/>
      <c r="C457" s="12" t="s">
        <v>661</v>
      </c>
      <c r="D457" s="5">
        <f>0.1</f>
        <v>0.1</v>
      </c>
      <c r="E457" s="7"/>
    </row>
    <row r="458" spans="2:5" ht="64.5" customHeight="1">
      <c r="B458" s="9"/>
      <c r="C458" s="12" t="s">
        <v>657</v>
      </c>
      <c r="D458" s="5">
        <v>0.08</v>
      </c>
      <c r="E458" s="7"/>
    </row>
    <row r="459" spans="2:5" ht="67.5" customHeight="1">
      <c r="B459" s="9"/>
      <c r="C459" s="44" t="s">
        <v>394</v>
      </c>
      <c r="D459" s="43">
        <f>D449</f>
        <v>0.36222566400000006</v>
      </c>
      <c r="E459" s="7"/>
    </row>
    <row r="460" spans="2:5" ht="67.5" customHeight="1">
      <c r="B460" s="9"/>
      <c r="C460" s="44" t="s">
        <v>662</v>
      </c>
      <c r="D460" s="43">
        <f>D442</f>
        <v>5.2943555772891226</v>
      </c>
      <c r="E460" s="7"/>
    </row>
    <row r="461" spans="2:5" ht="66.75" customHeight="1">
      <c r="B461" s="9" t="s">
        <v>356</v>
      </c>
      <c r="C461" s="11" t="s">
        <v>396</v>
      </c>
      <c r="D461" s="7"/>
      <c r="E461" s="7"/>
    </row>
  </sheetData>
  <pageMargins left="0.7" right="0.7" top="0.75" bottom="0.75" header="0.3" footer="0.3"/>
  <pageSetup paperSize="9" orientation="portrait" r:id="rId1"/>
  <ignoredErrors>
    <ignoredError sqref="B87" numberStoredAsText="1"/>
    <ignoredError sqref="B83 B72 B77 B152:B154 B159 B200 B385 B362 B360 B356 B368:B369 B372:B375 B380:B381 B366 B364" twoDigitTextYear="1"/>
  </ignoredErrors>
  <drawing r:id="rId2"/>
  <legacyDrawing r:id="rId3"/>
  <oleObjects>
    <oleObject progId="Equation.DSMT4" shapeId="1029" r:id="rId4"/>
    <oleObject progId="Equation.DSMT4" shapeId="1033" r:id="rId5"/>
    <oleObject progId="Equation.DSMT4" shapeId="1045" r:id="rId6"/>
    <oleObject progId="Equation.DSMT4" shapeId="1047" r:id="rId7"/>
    <oleObject progId="Equation.DSMT4" shapeId="1048" r:id="rId8"/>
    <oleObject progId="Equation.DSMT4" shapeId="1051" r:id="rId9"/>
    <oleObject progId="Equation.DSMT4" shapeId="1144" r:id="rId10"/>
    <oleObject progId="Equation.DSMT4" shapeId="1145" r:id="rId11"/>
    <oleObject progId="Equation.DSMT4" shapeId="1146" r:id="rId12"/>
    <oleObject progId="Equation.DSMT4" shapeId="1147" r:id="rId13"/>
    <oleObject progId="Equation.DSMT4" shapeId="1153" r:id="rId14"/>
    <oleObject progId="Equation.DSMT4" shapeId="1154" r:id="rId15"/>
    <oleObject progId="Equation.DSMT4" shapeId="1155" r:id="rId16"/>
    <oleObject progId="Equation.DSMT4" shapeId="1158" r:id="rId17"/>
    <oleObject progId="Equation.DSMT4" shapeId="1161" r:id="rId18"/>
    <oleObject progId="Equation.DSMT4" shapeId="1162" r:id="rId19"/>
    <oleObject progId="Equation.DSMT4" shapeId="1164" r:id="rId20"/>
    <oleObject progId="Equation.DSMT4" shapeId="1165" r:id="rId21"/>
    <oleObject progId="Equation.DSMT4" shapeId="1166" r:id="rId22"/>
    <oleObject progId="Equation.DSMT4" shapeId="1167" r:id="rId23"/>
    <oleObject progId="Equation.DSMT4" shapeId="1168" r:id="rId24"/>
    <oleObject progId="Equation.DSMT4" shapeId="1170" r:id="rId25"/>
    <oleObject progId="Equation.DSMT4" shapeId="1171" r:id="rId26"/>
    <oleObject progId="Equation.DSMT4" shapeId="1172" r:id="rId27"/>
    <oleObject progId="Equation.DSMT4" shapeId="1173" r:id="rId28"/>
    <oleObject progId="Equation.DSMT4" shapeId="1174" r:id="rId29"/>
    <oleObject progId="Equation.DSMT4" shapeId="1175" r:id="rId30"/>
    <oleObject progId="Equation.DSMT4" shapeId="1176" r:id="rId31"/>
    <oleObject progId="Equation.DSMT4" shapeId="1177" r:id="rId32"/>
    <oleObject progId="Equation.DSMT4" shapeId="1178" r:id="rId33"/>
    <oleObject progId="Equation.DSMT4" shapeId="1179" r:id="rId34"/>
    <oleObject progId="Equation.DSMT4" shapeId="1180" r:id="rId35"/>
    <oleObject progId="Equation.DSMT4" shapeId="1181" r:id="rId36"/>
    <oleObject progId="Equation.DSMT4" shapeId="1182" r:id="rId37"/>
    <oleObject progId="Equation.DSMT4" shapeId="1183" r:id="rId38"/>
    <oleObject progId="Equation.DSMT4" shapeId="1184" r:id="rId39"/>
    <oleObject progId="Equation.DSMT4" shapeId="1187" r:id="rId40"/>
    <oleObject progId="Equation.DSMT4" shapeId="1188" r:id="rId41"/>
    <oleObject progId="Equation.DSMT4" shapeId="1189" r:id="rId42"/>
    <oleObject progId="Equation.DSMT4" shapeId="1190" r:id="rId43"/>
    <oleObject progId="Equation.DSMT4" shapeId="1191" r:id="rId44"/>
    <oleObject progId="Equation.DSMT4" shapeId="1192" r:id="rId45"/>
    <oleObject progId="Equation.DSMT4" shapeId="1193" r:id="rId46"/>
    <oleObject progId="Equation.DSMT4" shapeId="1194" r:id="rId47"/>
    <oleObject progId="Equation.DSMT4" shapeId="1195" r:id="rId48"/>
    <oleObject progId="Equation.DSMT4" shapeId="1196" r:id="rId49"/>
    <oleObject progId="Equation.DSMT4" shapeId="1197" r:id="rId50"/>
    <oleObject progId="Equation.DSMT4" shapeId="1198" r:id="rId51"/>
    <oleObject progId="Equation.DSMT4" shapeId="1199" r:id="rId52"/>
    <oleObject progId="Equation.DSMT4" shapeId="1200" r:id="rId53"/>
    <oleObject progId="Equation.DSMT4" shapeId="1201" r:id="rId54"/>
    <oleObject progId="Equation.DSMT4" shapeId="1202" r:id="rId55"/>
    <oleObject progId="Equation.DSMT4" shapeId="1203" r:id="rId56"/>
    <oleObject progId="Equation.DSMT4" shapeId="1204" r:id="rId57"/>
    <oleObject progId="Equation.DSMT4" shapeId="1205" r:id="rId58"/>
    <oleObject progId="Equation.DSMT4" shapeId="1206" r:id="rId59"/>
    <oleObject progId="Equation.DSMT4" shapeId="1207" r:id="rId60"/>
    <oleObject progId="Equation.DSMT4" shapeId="1208" r:id="rId61"/>
    <oleObject progId="Equation.DSMT4" shapeId="1209" r:id="rId62"/>
    <oleObject progId="Equation.DSMT4" shapeId="1210" r:id="rId63"/>
    <oleObject progId="Equation.DSMT4" shapeId="1211" r:id="rId64"/>
    <oleObject progId="Equation.DSMT4" shapeId="1215" r:id="rId65"/>
    <oleObject progId="Equation.DSMT4" shapeId="1216" r:id="rId66"/>
    <oleObject progId="Equation.DSMT4" shapeId="1217" r:id="rId67"/>
    <oleObject progId="Equation.DSMT4" shapeId="1218" r:id="rId68"/>
    <oleObject progId="Equation.DSMT4" shapeId="1219" r:id="rId69"/>
    <oleObject progId="Equation.DSMT4" shapeId="1220" r:id="rId70"/>
    <oleObject progId="Equation.DSMT4" shapeId="1221" r:id="rId71"/>
    <oleObject progId="Equation.DSMT4" shapeId="1222" r:id="rId72"/>
    <oleObject progId="Equation.DSMT4" shapeId="1223" r:id="rId73"/>
    <oleObject progId="Equation.DSMT4" shapeId="1224" r:id="rId74"/>
    <oleObject progId="Equation.DSMT4" shapeId="1226" r:id="rId75"/>
    <oleObject progId="Equation.DSMT4" shapeId="1227" r:id="rId76"/>
    <oleObject progId="Equation.DSMT4" shapeId="1228" r:id="rId77"/>
    <oleObject progId="Equation.DSMT4" shapeId="1229" r:id="rId78"/>
    <oleObject progId="Equation.DSMT4" shapeId="1230" r:id="rId79"/>
    <oleObject progId="Equation.DSMT4" shapeId="1231" r:id="rId80"/>
    <oleObject progId="Equation.DSMT4" shapeId="1232" r:id="rId81"/>
    <oleObject progId="Equation.DSMT4" shapeId="1233" r:id="rId82"/>
    <oleObject progId="Equation.DSMT4" shapeId="1234" r:id="rId83"/>
    <oleObject progId="Equation.DSMT4" shapeId="1235" r:id="rId84"/>
    <oleObject progId="Equation.DSMT4" shapeId="1236" r:id="rId85"/>
    <oleObject progId="Equation.DSMT4" shapeId="1237" r:id="rId86"/>
    <oleObject progId="Equation.DSMT4" shapeId="1238" r:id="rId87"/>
    <oleObject progId="Equation.DSMT4" shapeId="1240" r:id="rId88"/>
    <oleObject progId="Equation.DSMT4" shapeId="1241" r:id="rId89"/>
    <oleObject progId="Equation.DSMT4" shapeId="1242" r:id="rId90"/>
    <oleObject progId="Equation.DSMT4" shapeId="1243" r:id="rId91"/>
    <oleObject progId="Equation.DSMT4" shapeId="1245" r:id="rId92"/>
    <oleObject progId="Equation.DSMT4" shapeId="1246" r:id="rId93"/>
    <oleObject progId="Equation.DSMT4" shapeId="1248" r:id="rId94"/>
    <oleObject progId="Equation.DSMT4" shapeId="1249" r:id="rId95"/>
    <oleObject progId="Equation.DSMT4" shapeId="1250" r:id="rId96"/>
    <oleObject progId="Equation.DSMT4" shapeId="1251" r:id="rId97"/>
    <oleObject progId="Equation.DSMT4" shapeId="1252" r:id="rId98"/>
    <oleObject progId="Equation.DSMT4" shapeId="1253" r:id="rId99"/>
    <oleObject progId="Equation.DSMT4" shapeId="1254" r:id="rId100"/>
    <oleObject progId="Equation.DSMT4" shapeId="1255" r:id="rId101"/>
    <oleObject progId="Equation.DSMT4" shapeId="1256" r:id="rId102"/>
    <oleObject progId="Equation.DSMT4" shapeId="1263" r:id="rId103"/>
    <oleObject progId="Equation.DSMT4" shapeId="1264" r:id="rId104"/>
    <oleObject progId="Equation.DSMT4" shapeId="1265" r:id="rId105"/>
    <oleObject progId="Equation.DSMT4" shapeId="1268" r:id="rId106"/>
    <oleObject progId="Equation.DSMT4" shapeId="1270" r:id="rId107"/>
    <oleObject progId="Equation.DSMT4" shapeId="1272" r:id="rId108"/>
    <oleObject progId="Equation.DSMT4" shapeId="1273" r:id="rId109"/>
    <oleObject progId="Equation.DSMT4" shapeId="1274" r:id="rId110"/>
    <oleObject progId="Equation.DSMT4" shapeId="1275" r:id="rId111"/>
    <oleObject progId="Equation.DSMT4" shapeId="1276" r:id="rId112"/>
    <oleObject progId="Equation.DSMT4" shapeId="1277" r:id="rId113"/>
    <oleObject progId="Equation.DSMT4" shapeId="1279" r:id="rId114"/>
    <oleObject progId="Equation.DSMT4" shapeId="1280" r:id="rId115"/>
    <oleObject progId="Equation.DSMT4" shapeId="1281" r:id="rId116"/>
    <oleObject progId="Equation.DSMT4" shapeId="1282" r:id="rId117"/>
    <oleObject progId="Equation.DSMT4" shapeId="1283" r:id="rId118"/>
    <oleObject progId="Equation.DSMT4" shapeId="1284" r:id="rId119"/>
    <oleObject progId="Equation.DSMT4" shapeId="1285" r:id="rId120"/>
    <oleObject progId="Equation.DSMT4" shapeId="1286" r:id="rId121"/>
    <oleObject progId="Equation.DSMT4" shapeId="1287" r:id="rId122"/>
    <oleObject progId="Equation.DSMT4" shapeId="1288" r:id="rId123"/>
    <oleObject progId="Equation.DSMT4" shapeId="1289" r:id="rId124"/>
    <oleObject progId="Equation.DSMT4" shapeId="1303" r:id="rId125"/>
    <oleObject progId="Equation.DSMT4" shapeId="1305" r:id="rId126"/>
    <oleObject progId="Equation.DSMT4" shapeId="1306" r:id="rId127"/>
    <oleObject progId="Equation.DSMT4" shapeId="1307" r:id="rId128"/>
    <oleObject progId="Equation.DSMT4" shapeId="1308" r:id="rId129"/>
    <oleObject progId="Equation.DSMT4" shapeId="1309" r:id="rId130"/>
    <oleObject progId="Equation.DSMT4" shapeId="1310" r:id="rId131"/>
    <oleObject progId="Equation.DSMT4" shapeId="1311" r:id="rId132"/>
    <oleObject progId="Equation.DSMT4" shapeId="1312" r:id="rId133"/>
    <oleObject progId="Equation.DSMT4" shapeId="1313" r:id="rId134"/>
    <oleObject progId="Equation.DSMT4" shapeId="1314" r:id="rId135"/>
    <oleObject progId="Equation.DSMT4" shapeId="1315" r:id="rId136"/>
    <oleObject progId="Equation.DSMT4" shapeId="1316" r:id="rId137"/>
    <oleObject progId="Equation.DSMT4" shapeId="1317" r:id="rId138"/>
    <oleObject progId="Equation.DSMT4" shapeId="1320" r:id="rId139"/>
    <oleObject progId="Equation.DSMT4" shapeId="1321" r:id="rId140"/>
    <oleObject progId="Equation.DSMT4" shapeId="1323" r:id="rId141"/>
    <oleObject progId="Equation.DSMT4" shapeId="1324" r:id="rId142"/>
    <oleObject progId="Equation.DSMT4" shapeId="1329" r:id="rId143"/>
    <oleObject progId="Equation.DSMT4" shapeId="1331" r:id="rId144"/>
    <oleObject progId="Equation.DSMT4" shapeId="1332" r:id="rId145"/>
    <oleObject progId="Equation.DSMT4" shapeId="1333" r:id="rId146"/>
    <oleObject progId="Equation.DSMT4" shapeId="1335" r:id="rId147"/>
    <oleObject progId="Equation.DSMT4" shapeId="1340" r:id="rId148"/>
    <oleObject progId="Equation.DSMT4" shapeId="1341" r:id="rId149"/>
    <oleObject progId="Equation.DSMT4" shapeId="1342" r:id="rId150"/>
    <oleObject progId="Equation.DSMT4" shapeId="1343" r:id="rId151"/>
    <oleObject progId="Equation.DSMT4" shapeId="1344" r:id="rId152"/>
    <oleObject progId="Equation.DSMT4" shapeId="1345" r:id="rId153"/>
    <oleObject progId="Equation.DSMT4" shapeId="1346" r:id="rId154"/>
    <oleObject progId="Equation.DSMT4" shapeId="1347" r:id="rId155"/>
    <oleObject progId="Equation.DSMT4" shapeId="1348" r:id="rId156"/>
    <oleObject progId="Equation.DSMT4" shapeId="1349" r:id="rId157"/>
    <oleObject progId="Equation.DSMT4" shapeId="1350" r:id="rId158"/>
    <oleObject progId="Equation.DSMT4" shapeId="1351" r:id="rId159"/>
    <oleObject progId="Equation.DSMT4" shapeId="1352" r:id="rId160"/>
    <oleObject progId="Equation.DSMT4" shapeId="1353" r:id="rId161"/>
    <oleObject progId="Equation.DSMT4" shapeId="1354" r:id="rId162"/>
    <oleObject progId="Equation.DSMT4" shapeId="1355" r:id="rId163"/>
    <oleObject progId="Equation.DSMT4" shapeId="1356" r:id="rId164"/>
    <oleObject progId="Equation.DSMT4" shapeId="1357" r:id="rId165"/>
    <oleObject progId="Equation.DSMT4" shapeId="1358" r:id="rId166"/>
    <oleObject progId="Equation.DSMT4" shapeId="1359" r:id="rId167"/>
    <oleObject progId="Equation.DSMT4" shapeId="1360" r:id="rId168"/>
    <oleObject progId="Equation.DSMT4" shapeId="1362" r:id="rId169"/>
    <oleObject progId="Equation.DSMT4" shapeId="1364" r:id="rId170"/>
    <oleObject progId="Equation.DSMT4" shapeId="1365" r:id="rId171"/>
    <oleObject progId="Equation.DSMT4" shapeId="1366" r:id="rId172"/>
    <oleObject progId="Equation.DSMT4" shapeId="1368" r:id="rId173"/>
    <oleObject progId="Equation.DSMT4" shapeId="1369" r:id="rId174"/>
    <oleObject progId="Equation.DSMT4" shapeId="1370" r:id="rId175"/>
    <oleObject progId="Equation.DSMT4" shapeId="1371" r:id="rId176"/>
    <oleObject progId="Equation.DSMT4" shapeId="1373" r:id="rId177"/>
    <oleObject progId="Equation.DSMT4" shapeId="1374" r:id="rId178"/>
    <oleObject progId="Equation.DSMT4" shapeId="1375" r:id="rId179"/>
    <oleObject progId="Equation.DSMT4" shapeId="1376" r:id="rId180"/>
    <oleObject progId="Equation.DSMT4" shapeId="1377" r:id="rId181"/>
    <oleObject progId="Equation.DSMT4" shapeId="1379" r:id="rId182"/>
    <oleObject progId="Equation.DSMT4" shapeId="1381" r:id="rId183"/>
    <oleObject progId="Equation.DSMT4" shapeId="1382" r:id="rId184"/>
    <oleObject progId="Equation.DSMT4" shapeId="1383" r:id="rId185"/>
    <oleObject progId="Equation.DSMT4" shapeId="1384" r:id="rId186"/>
    <oleObject progId="Equation.DSMT4" shapeId="1385" r:id="rId187"/>
    <oleObject progId="Equation.DSMT4" shapeId="1386" r:id="rId188"/>
    <oleObject progId="Equation.DSMT4" shapeId="1387" r:id="rId189"/>
    <oleObject progId="Equation.DSMT4" shapeId="1388" r:id="rId190"/>
    <oleObject progId="Equation.DSMT4" shapeId="1389" r:id="rId191"/>
    <oleObject progId="Equation.DSMT4" shapeId="1390" r:id="rId192"/>
    <oleObject progId="Equation.DSMT4" shapeId="1391" r:id="rId193"/>
    <oleObject progId="Equation.DSMT4" shapeId="1392" r:id="rId194"/>
    <oleObject progId="Equation.DSMT4" shapeId="1393" r:id="rId195"/>
    <oleObject progId="Equation.DSMT4" shapeId="1394" r:id="rId196"/>
    <oleObject progId="Equation.DSMT4" shapeId="1395" r:id="rId197"/>
    <oleObject progId="Equation.DSMT4" shapeId="1398" r:id="rId198"/>
    <oleObject progId="Equation.DSMT4" shapeId="1399" r:id="rId199"/>
    <oleObject progId="Equation.DSMT4" shapeId="1400" r:id="rId200"/>
    <oleObject progId="Equation.DSMT4" shapeId="1402" r:id="rId201"/>
    <oleObject progId="Equation.DSMT4" shapeId="1403" r:id="rId202"/>
    <oleObject progId="Equation.DSMT4" shapeId="1404" r:id="rId203"/>
    <oleObject progId="Equation.DSMT4" shapeId="1407" r:id="rId204"/>
    <oleObject progId="Equation.DSMT4" shapeId="1408" r:id="rId205"/>
    <oleObject progId="Equation.DSMT4" shapeId="1409" r:id="rId206"/>
    <oleObject progId="Equation.DSMT4" shapeId="1410" r:id="rId207"/>
    <oleObject progId="Equation.DSMT4" shapeId="1411" r:id="rId208"/>
    <oleObject progId="Equation.DSMT4" shapeId="1412" r:id="rId209"/>
    <oleObject progId="Equation.DSMT4" shapeId="1413" r:id="rId210"/>
    <oleObject progId="Equation.DSMT4" shapeId="1414" r:id="rId211"/>
    <oleObject progId="Equation.DSMT4" shapeId="1415" r:id="rId212"/>
    <oleObject progId="Equation.DSMT4" shapeId="1416" r:id="rId213"/>
    <oleObject progId="Equation.DSMT4" shapeId="1417" r:id="rId214"/>
    <oleObject progId="Equation.DSMT4" shapeId="1418" r:id="rId215"/>
    <oleObject progId="Equation.DSMT4" shapeId="1419" r:id="rId216"/>
    <oleObject progId="Equation.DSMT4" shapeId="1420" r:id="rId217"/>
    <oleObject progId="Equation.DSMT4" shapeId="1421" r:id="rId218"/>
    <oleObject progId="Equation.DSMT4" shapeId="1423" r:id="rId219"/>
    <oleObject progId="Equation.DSMT4" shapeId="1426" r:id="rId220"/>
    <oleObject progId="Equation.DSMT4" shapeId="1498" r:id="rId221"/>
    <oleObject progId="Equation.DSMT4" shapeId="1499" r:id="rId222"/>
    <oleObject progId="Equation.DSMT4" shapeId="1501" r:id="rId223"/>
    <oleObject progId="Equation.DSMT4" shapeId="1502" r:id="rId224"/>
    <oleObject progId="Equation.DSMT4" shapeId="1504" r:id="rId225"/>
    <oleObject progId="Equation.DSMT4" shapeId="1505" r:id="rId226"/>
    <oleObject progId="Equation.DSMT4" shapeId="1507" r:id="rId227"/>
    <oleObject progId="Equation.DSMT4" shapeId="1508" r:id="rId228"/>
    <oleObject progId="Equation.DSMT4" shapeId="1509" r:id="rId229"/>
    <oleObject progId="Equation.DSMT4" shapeId="1510" r:id="rId230"/>
    <oleObject progId="Equation.DSMT4" shapeId="1511" r:id="rId231"/>
    <oleObject progId="Equation.DSMT4" shapeId="1512" r:id="rId232"/>
    <oleObject progId="Equation.DSMT4" shapeId="1513" r:id="rId233"/>
    <oleObject progId="Equation.DSMT4" shapeId="1515" r:id="rId234"/>
    <oleObject progId="Equation.DSMT4" shapeId="1518" r:id="rId235"/>
    <oleObject progId="Equation.DSMT4" shapeId="1519" r:id="rId236"/>
    <oleObject progId="Equation.DSMT4" shapeId="1524" r:id="rId237"/>
    <oleObject progId="Equation.DSMT4" shapeId="1525" r:id="rId238"/>
    <oleObject progId="Equation.DSMT4" shapeId="1528" r:id="rId239"/>
    <oleObject progId="Equation.DSMT4" shapeId="1529" r:id="rId240"/>
    <oleObject progId="Equation.DSMT4" shapeId="1531" r:id="rId241"/>
    <oleObject progId="Equation.DSMT4" shapeId="1532" r:id="rId242"/>
    <oleObject progId="Equation.DSMT4" shapeId="1535" r:id="rId243"/>
    <oleObject progId="Equation.DSMT4" shapeId="1539" r:id="rId244"/>
    <oleObject progId="Equation.DSMT4" shapeId="1541" r:id="rId245"/>
    <oleObject progId="Equation.DSMT4" shapeId="1542" r:id="rId246"/>
    <oleObject progId="Equation.DSMT4" shapeId="1543" r:id="rId247"/>
    <oleObject progId="Equation.DSMT4" shapeId="1544" r:id="rId248"/>
    <oleObject progId="Equation.DSMT4" shapeId="1545" r:id="rId249"/>
    <oleObject progId="Equation.DSMT4" shapeId="1551" r:id="rId250"/>
    <oleObject progId="Equation.DSMT4" shapeId="1552" r:id="rId251"/>
    <oleObject progId="Equation.DSMT4" shapeId="1553" r:id="rId252"/>
    <oleObject progId="Equation.DSMT4" shapeId="1558" r:id="rId253"/>
    <oleObject progId="Equation.DSMT4" shapeId="1559" r:id="rId254"/>
    <oleObject progId="Equation.DSMT4" shapeId="1560" r:id="rId255"/>
    <oleObject progId="Equation.DSMT4" shapeId="1562" r:id="rId256"/>
    <oleObject progId="Equation.DSMT4" shapeId="1563" r:id="rId257"/>
    <oleObject progId="Equation.DSMT4" shapeId="1564" r:id="rId258"/>
    <oleObject progId="Equation.DSMT4" shapeId="1567" r:id="rId259"/>
    <oleObject progId="Equation.DSMT4" shapeId="1570" r:id="rId260"/>
    <oleObject progId="Equation.DSMT4" shapeId="1572" r:id="rId261"/>
    <oleObject progId="Equation.DSMT4" shapeId="1573" r:id="rId262"/>
    <oleObject progId="Equation.DSMT4" shapeId="1574" r:id="rId263"/>
    <oleObject progId="Equation.DSMT4" shapeId="1575" r:id="rId264"/>
    <oleObject progId="Equation.DSMT4" shapeId="1578" r:id="rId265"/>
    <oleObject progId="Equation.DSMT4" shapeId="1579" r:id="rId266"/>
    <oleObject progId="Equation.DSMT4" shapeId="1580" r:id="rId267"/>
    <oleObject progId="Equation.DSMT4" shapeId="1581" r:id="rId268"/>
  </oleObjects>
</worksheet>
</file>

<file path=xl/worksheets/sheet2.xml><?xml version="1.0" encoding="utf-8"?>
<worksheet xmlns="http://schemas.openxmlformats.org/spreadsheetml/2006/main" xmlns:r="http://schemas.openxmlformats.org/officeDocument/2006/relationships">
  <dimension ref="B4:CD187"/>
  <sheetViews>
    <sheetView zoomScale="55" zoomScaleNormal="55" workbookViewId="0">
      <selection activeCell="H83" sqref="H83"/>
    </sheetView>
  </sheetViews>
  <sheetFormatPr defaultRowHeight="20.25"/>
  <cols>
    <col min="1" max="1" width="9.140625" style="29"/>
    <col min="2" max="2" width="9.140625" style="25"/>
    <col min="3" max="3" width="44" style="25" customWidth="1"/>
    <col min="4" max="4" width="19.7109375" style="35" customWidth="1"/>
    <col min="5" max="5" width="9.140625" style="32" customWidth="1"/>
    <col min="6" max="31" width="9.140625" style="29" customWidth="1"/>
    <col min="32" max="32" width="9.140625" style="25" customWidth="1"/>
    <col min="33" max="33" width="34.140625" style="25" customWidth="1"/>
    <col min="34" max="34" width="11.85546875" style="35" customWidth="1"/>
    <col min="35" max="35" width="9.140625" style="32" customWidth="1"/>
    <col min="36" max="44" width="9.140625" style="29"/>
    <col min="45" max="45" width="9.140625" style="25"/>
    <col min="46" max="46" width="23.140625" style="25" customWidth="1"/>
    <col min="47" max="47" width="12.42578125" style="21" customWidth="1"/>
    <col min="48" max="48" width="9.140625" style="25"/>
    <col min="49" max="57" width="9.140625" style="29"/>
    <col min="58" max="58" width="9.140625" style="25"/>
    <col min="59" max="59" width="20.42578125" style="25" customWidth="1"/>
    <col min="60" max="60" width="19.140625" style="4" bestFit="1" customWidth="1"/>
    <col min="61" max="61" width="9.140625" style="33"/>
    <col min="62" max="70" width="9.140625" style="29"/>
    <col min="71" max="71" width="9.140625" style="25"/>
    <col min="72" max="72" width="27.7109375" style="25" customWidth="1"/>
    <col min="73" max="74" width="9.140625" style="25"/>
    <col min="75" max="16384" width="9.140625" style="29"/>
  </cols>
  <sheetData>
    <row r="4" spans="2:82">
      <c r="B4" s="24"/>
      <c r="C4" s="24" t="s">
        <v>257</v>
      </c>
      <c r="D4" s="36"/>
      <c r="E4" s="30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</row>
    <row r="5" spans="2:82">
      <c r="B5" s="24"/>
      <c r="C5" s="24" t="s">
        <v>258</v>
      </c>
      <c r="D5" s="36"/>
      <c r="E5" s="30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</row>
    <row r="6" spans="2:82">
      <c r="B6" s="24"/>
      <c r="C6" s="45" t="s">
        <v>266</v>
      </c>
      <c r="D6" s="46">
        <f>'Раздел (1-11)'!$D$105</f>
        <v>14.635457662080691</v>
      </c>
      <c r="E6" s="30" t="s">
        <v>93</v>
      </c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K6" s="27"/>
      <c r="AL6" s="27"/>
      <c r="AM6" s="27"/>
      <c r="AN6" s="27"/>
      <c r="AO6" s="27"/>
      <c r="AP6" s="27"/>
      <c r="AX6" s="27"/>
      <c r="AY6" s="27"/>
      <c r="AZ6" s="27"/>
      <c r="BA6" s="27"/>
      <c r="BB6" s="27"/>
      <c r="BC6" s="27"/>
      <c r="BK6" s="27"/>
      <c r="BL6" s="27"/>
      <c r="BM6" s="27"/>
      <c r="BN6" s="27"/>
      <c r="BO6" s="27"/>
      <c r="BP6" s="27"/>
    </row>
    <row r="7" spans="2:82">
      <c r="B7" s="24"/>
      <c r="C7" s="45" t="s">
        <v>267</v>
      </c>
      <c r="D7" s="46">
        <f>'Раздел (1-11)'!D106</f>
        <v>10.329253333333334</v>
      </c>
      <c r="E7" s="30" t="s">
        <v>93</v>
      </c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K7" s="27"/>
      <c r="AL7" s="27"/>
      <c r="AM7" s="27"/>
      <c r="AN7" s="27"/>
      <c r="AO7" s="27"/>
      <c r="AP7" s="27"/>
      <c r="AX7" s="27"/>
      <c r="AY7" s="27"/>
      <c r="AZ7" s="27"/>
      <c r="BA7" s="27"/>
      <c r="BB7" s="27"/>
      <c r="BC7" s="27"/>
      <c r="BK7" s="27"/>
      <c r="BL7" s="27"/>
      <c r="BM7" s="27"/>
      <c r="BN7" s="27"/>
      <c r="BO7" s="27"/>
      <c r="BP7" s="27"/>
      <c r="BY7" s="27"/>
      <c r="BZ7" s="27"/>
      <c r="CA7" s="27"/>
      <c r="CB7" s="27"/>
      <c r="CC7" s="27"/>
      <c r="CD7" s="27"/>
    </row>
    <row r="8" spans="2:82">
      <c r="B8" s="24"/>
      <c r="C8" s="45" t="s">
        <v>268</v>
      </c>
      <c r="D8" s="46">
        <f>'Раздел (1-11)'!D102</f>
        <v>2.9</v>
      </c>
      <c r="E8" s="30" t="s">
        <v>93</v>
      </c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F8" s="24"/>
      <c r="AG8" s="24" t="s">
        <v>247</v>
      </c>
      <c r="AH8" s="36"/>
      <c r="AI8" s="30"/>
      <c r="AK8" s="27"/>
      <c r="AL8" s="27"/>
      <c r="AM8" s="27"/>
      <c r="AN8" s="27"/>
      <c r="AO8" s="27"/>
      <c r="AP8" s="27"/>
      <c r="AS8" s="24"/>
      <c r="AT8" s="24" t="s">
        <v>247</v>
      </c>
      <c r="AU8" s="23"/>
      <c r="AV8" s="24"/>
      <c r="AX8" s="27"/>
      <c r="AY8" s="27"/>
      <c r="AZ8" s="27"/>
      <c r="BA8" s="27"/>
      <c r="BB8" s="27"/>
      <c r="BC8" s="27"/>
      <c r="BF8" s="24"/>
      <c r="BG8" s="24" t="s">
        <v>245</v>
      </c>
      <c r="BH8" s="7"/>
      <c r="BI8" s="34"/>
      <c r="BK8" s="27"/>
      <c r="BL8" s="27"/>
      <c r="BM8" s="27"/>
      <c r="BN8" s="27"/>
      <c r="BO8" s="27"/>
      <c r="BP8" s="27"/>
      <c r="BS8" s="24"/>
      <c r="BT8" s="24" t="s">
        <v>245</v>
      </c>
      <c r="BU8" s="24"/>
      <c r="BV8" s="24"/>
      <c r="BY8" s="27"/>
      <c r="BZ8" s="27"/>
      <c r="CA8" s="27"/>
      <c r="CB8" s="27"/>
      <c r="CC8" s="27"/>
      <c r="CD8" s="27"/>
    </row>
    <row r="9" spans="2:82">
      <c r="B9" s="24"/>
      <c r="C9" s="45" t="s">
        <v>269</v>
      </c>
      <c r="D9" s="46">
        <f>'Раздел (1-11)'!D107</f>
        <v>20.688417329763396</v>
      </c>
      <c r="E9" s="30" t="s">
        <v>93</v>
      </c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F9" s="24"/>
      <c r="AG9" s="24" t="s">
        <v>243</v>
      </c>
      <c r="AH9" s="36"/>
      <c r="AI9" s="30"/>
      <c r="AK9" s="27"/>
      <c r="AL9" s="27"/>
      <c r="AM9" s="27"/>
      <c r="AN9" s="27"/>
      <c r="AO9" s="27"/>
      <c r="AP9" s="27"/>
      <c r="AS9" s="24"/>
      <c r="AT9" s="24" t="s">
        <v>246</v>
      </c>
      <c r="AU9" s="23"/>
      <c r="AV9" s="24"/>
      <c r="AX9" s="27"/>
      <c r="AY9" s="27"/>
      <c r="AZ9" s="27"/>
      <c r="BA9" s="27"/>
      <c r="BB9" s="27"/>
      <c r="BC9" s="27"/>
      <c r="BF9" s="24"/>
      <c r="BG9" s="24" t="s">
        <v>246</v>
      </c>
      <c r="BH9" s="7"/>
      <c r="BI9" s="34"/>
      <c r="BK9" s="27"/>
      <c r="BL9" s="27"/>
      <c r="BM9" s="27"/>
      <c r="BN9" s="27"/>
      <c r="BO9" s="27"/>
      <c r="BP9" s="27"/>
      <c r="BS9" s="24"/>
      <c r="BT9" s="24" t="s">
        <v>246</v>
      </c>
      <c r="BU9" s="24"/>
      <c r="BV9" s="24"/>
      <c r="BY9" s="27"/>
      <c r="BZ9" s="27"/>
      <c r="CA9" s="27"/>
      <c r="CB9" s="27"/>
      <c r="CC9" s="27"/>
      <c r="CD9" s="27"/>
    </row>
    <row r="10" spans="2:82">
      <c r="B10" s="24"/>
      <c r="C10" s="45" t="s">
        <v>270</v>
      </c>
      <c r="D10" s="46">
        <f>'Раздел (1-11)'!D104</f>
        <v>25.153043996430064</v>
      </c>
      <c r="E10" s="30" t="s">
        <v>93</v>
      </c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F10" s="24"/>
      <c r="AG10" s="24" t="s">
        <v>96</v>
      </c>
      <c r="AH10" s="36"/>
      <c r="AI10" s="30"/>
      <c r="AK10" s="27"/>
      <c r="AL10" s="27"/>
      <c r="AM10" s="27"/>
      <c r="AN10" s="27"/>
      <c r="AO10" s="27"/>
      <c r="AP10" s="27"/>
      <c r="AS10" s="24"/>
      <c r="AT10" s="24" t="s">
        <v>243</v>
      </c>
      <c r="AU10" s="23"/>
      <c r="AV10" s="24"/>
      <c r="AX10" s="27"/>
      <c r="AY10" s="27"/>
      <c r="AZ10" s="27"/>
      <c r="BA10" s="27"/>
      <c r="BB10" s="27"/>
      <c r="BC10" s="27"/>
      <c r="BF10" s="24"/>
      <c r="BG10" s="24" t="s">
        <v>96</v>
      </c>
      <c r="BH10" s="7"/>
      <c r="BI10" s="34"/>
      <c r="BK10" s="27"/>
      <c r="BL10" s="27"/>
      <c r="BM10" s="27"/>
      <c r="BN10" s="27"/>
      <c r="BO10" s="27"/>
      <c r="BP10" s="27"/>
      <c r="BS10" s="24"/>
      <c r="BT10" s="24" t="s">
        <v>96</v>
      </c>
      <c r="BU10" s="24"/>
      <c r="BV10" s="24"/>
      <c r="BY10" s="27"/>
      <c r="BZ10" s="27"/>
      <c r="CA10" s="27"/>
      <c r="CB10" s="27"/>
      <c r="CC10" s="27"/>
      <c r="CD10" s="27"/>
    </row>
    <row r="11" spans="2:82">
      <c r="B11" s="24"/>
      <c r="C11" s="45" t="s">
        <v>271</v>
      </c>
      <c r="D11" s="46">
        <f>'Раздел (1-11)'!D101</f>
        <v>0.75</v>
      </c>
      <c r="E11" s="30" t="s">
        <v>93</v>
      </c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F11" s="24"/>
      <c r="AG11" s="24" t="s">
        <v>241</v>
      </c>
      <c r="AH11" s="36"/>
      <c r="AI11" s="30"/>
      <c r="AK11" s="27"/>
      <c r="AL11" s="27"/>
      <c r="AM11" s="27"/>
      <c r="AN11" s="27"/>
      <c r="AO11" s="27"/>
      <c r="AP11" s="27"/>
      <c r="AS11" s="24"/>
      <c r="AT11" s="24" t="s">
        <v>96</v>
      </c>
      <c r="AU11" s="23"/>
      <c r="AV11" s="24"/>
      <c r="AX11" s="27"/>
      <c r="AY11" s="27"/>
      <c r="AZ11" s="27"/>
      <c r="BA11" s="27"/>
      <c r="BB11" s="27"/>
      <c r="BC11" s="27"/>
      <c r="BF11" s="24"/>
      <c r="BG11" s="24" t="s">
        <v>241</v>
      </c>
      <c r="BH11" s="7"/>
      <c r="BI11" s="34"/>
      <c r="BK11" s="27"/>
      <c r="BL11" s="27"/>
      <c r="BM11" s="27"/>
      <c r="BN11" s="27"/>
      <c r="BO11" s="27"/>
      <c r="BP11" s="27"/>
      <c r="BS11" s="24"/>
      <c r="BT11" s="24" t="s">
        <v>241</v>
      </c>
      <c r="BU11" s="24"/>
      <c r="BV11" s="24"/>
      <c r="BY11" s="27"/>
      <c r="BZ11" s="27"/>
      <c r="CA11" s="27"/>
      <c r="CB11" s="27"/>
      <c r="CC11" s="27"/>
      <c r="CD11" s="27"/>
    </row>
    <row r="12" spans="2:82">
      <c r="B12" s="26"/>
      <c r="C12" s="26"/>
      <c r="D12" s="38"/>
      <c r="E12" s="31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F12" s="26"/>
      <c r="AG12" s="26"/>
      <c r="AH12" s="38"/>
      <c r="AI12" s="31"/>
      <c r="AK12" s="27"/>
      <c r="AL12" s="27"/>
      <c r="AM12" s="27"/>
      <c r="AN12" s="27"/>
      <c r="AO12" s="27"/>
      <c r="AP12" s="27"/>
      <c r="AS12" s="24"/>
      <c r="AT12" s="24" t="s">
        <v>241</v>
      </c>
      <c r="AU12" s="23"/>
      <c r="AV12" s="24"/>
      <c r="AX12" s="27"/>
      <c r="AY12" s="27"/>
      <c r="AZ12" s="27"/>
      <c r="BA12" s="27"/>
      <c r="BB12" s="27"/>
      <c r="BC12" s="27"/>
      <c r="BF12" s="24"/>
      <c r="BG12" s="24" t="s">
        <v>242</v>
      </c>
      <c r="BH12" s="7"/>
      <c r="BI12" s="34"/>
      <c r="BK12" s="27"/>
      <c r="BL12" s="27"/>
      <c r="BM12" s="27"/>
      <c r="BN12" s="27"/>
      <c r="BO12" s="27"/>
      <c r="BP12" s="27"/>
      <c r="BS12" s="24"/>
      <c r="BT12" s="24" t="s">
        <v>242</v>
      </c>
      <c r="BU12" s="24"/>
      <c r="BV12" s="24"/>
      <c r="BY12" s="27"/>
      <c r="BZ12" s="27"/>
      <c r="CA12" s="27"/>
      <c r="CB12" s="27"/>
      <c r="CC12" s="27"/>
      <c r="CD12" s="27"/>
    </row>
    <row r="13" spans="2:82">
      <c r="AF13" s="26"/>
      <c r="AG13" s="26"/>
      <c r="AH13" s="38"/>
      <c r="AI13" s="31"/>
      <c r="AK13" s="27"/>
      <c r="AL13" s="27"/>
      <c r="AM13" s="27"/>
      <c r="AN13" s="27"/>
      <c r="AO13" s="27"/>
      <c r="AP13" s="27"/>
      <c r="AS13" s="24"/>
      <c r="AT13" s="24" t="s">
        <v>242</v>
      </c>
      <c r="AU13" s="23"/>
      <c r="AV13" s="24"/>
      <c r="AX13" s="27"/>
      <c r="AY13" s="27"/>
      <c r="AZ13" s="27"/>
      <c r="BA13" s="27"/>
      <c r="BB13" s="27"/>
      <c r="BC13" s="27"/>
      <c r="BF13" s="24"/>
      <c r="BG13" s="24" t="s">
        <v>244</v>
      </c>
      <c r="BH13" s="7"/>
      <c r="BI13" s="34"/>
      <c r="BK13" s="27"/>
      <c r="BL13" s="27"/>
      <c r="BM13" s="27"/>
      <c r="BN13" s="27"/>
      <c r="BO13" s="27"/>
      <c r="BP13" s="27"/>
      <c r="BS13" s="24"/>
      <c r="BT13" s="24" t="s">
        <v>244</v>
      </c>
      <c r="BU13" s="24"/>
      <c r="BV13" s="24"/>
      <c r="BY13" s="27"/>
      <c r="BZ13" s="27"/>
      <c r="CA13" s="27"/>
      <c r="CB13" s="27"/>
      <c r="CC13" s="27"/>
      <c r="CD13" s="27"/>
    </row>
    <row r="14" spans="2:82">
      <c r="AK14" s="27"/>
      <c r="AL14" s="27"/>
      <c r="AM14" s="27"/>
      <c r="AN14" s="27"/>
      <c r="AO14" s="27"/>
      <c r="AP14" s="27"/>
      <c r="AX14" s="27"/>
      <c r="AY14" s="27"/>
      <c r="AZ14" s="27"/>
      <c r="BA14" s="27"/>
      <c r="BB14" s="27"/>
      <c r="BC14" s="27"/>
      <c r="BK14" s="27"/>
      <c r="BL14" s="27"/>
      <c r="BM14" s="27"/>
      <c r="BN14" s="27"/>
      <c r="BO14" s="27"/>
      <c r="BP14" s="27"/>
      <c r="BY14" s="27"/>
      <c r="BZ14" s="27"/>
      <c r="CA14" s="27"/>
      <c r="CB14" s="27"/>
      <c r="CC14" s="27"/>
      <c r="CD14" s="27"/>
    </row>
    <row r="15" spans="2:82"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K15" s="27"/>
      <c r="AL15" s="27"/>
      <c r="AM15" s="27"/>
      <c r="AN15" s="27"/>
      <c r="AO15" s="27"/>
      <c r="AP15" s="27"/>
      <c r="AX15" s="27"/>
      <c r="AY15" s="27"/>
      <c r="AZ15" s="27"/>
      <c r="BA15" s="27"/>
      <c r="BB15" s="27"/>
      <c r="BC15" s="27"/>
      <c r="BK15" s="27"/>
      <c r="BL15" s="27"/>
      <c r="BM15" s="27"/>
      <c r="BN15" s="27"/>
      <c r="BO15" s="27"/>
      <c r="BP15" s="27"/>
      <c r="BY15" s="27"/>
      <c r="BZ15" s="27"/>
      <c r="CA15" s="27"/>
      <c r="CB15" s="27"/>
      <c r="CC15" s="27"/>
      <c r="CD15" s="27"/>
    </row>
    <row r="16" spans="2:82">
      <c r="AK16" s="27"/>
      <c r="AL16" s="27"/>
      <c r="AM16" s="27"/>
      <c r="AN16" s="27"/>
      <c r="AO16" s="27"/>
      <c r="AP16" s="27"/>
      <c r="AX16" s="27"/>
      <c r="AY16" s="27"/>
      <c r="AZ16" s="27"/>
      <c r="BA16" s="27"/>
      <c r="BB16" s="27"/>
      <c r="BC16" s="27"/>
      <c r="BK16" s="27"/>
      <c r="BL16" s="27"/>
      <c r="BM16" s="27"/>
      <c r="BN16" s="27"/>
      <c r="BO16" s="27"/>
      <c r="BP16" s="27"/>
      <c r="BY16" s="27"/>
      <c r="BZ16" s="27"/>
      <c r="CA16" s="27"/>
      <c r="CB16" s="27"/>
      <c r="CC16" s="27"/>
      <c r="CD16" s="27"/>
    </row>
    <row r="17" spans="37:82">
      <c r="AK17" s="27"/>
      <c r="AL17" s="27"/>
      <c r="AM17" s="27"/>
      <c r="AN17" s="27"/>
      <c r="AO17" s="27"/>
      <c r="AP17" s="27"/>
      <c r="AX17" s="27"/>
      <c r="AY17" s="27"/>
      <c r="AZ17" s="27"/>
      <c r="BA17" s="27"/>
      <c r="BB17" s="27"/>
      <c r="BC17" s="27"/>
      <c r="BK17" s="27"/>
      <c r="BL17" s="27"/>
      <c r="BM17" s="27"/>
      <c r="BN17" s="27"/>
      <c r="BO17" s="27"/>
      <c r="BP17" s="27"/>
      <c r="BY17" s="27"/>
      <c r="BZ17" s="27"/>
      <c r="CA17" s="27"/>
      <c r="CB17" s="27"/>
      <c r="CC17" s="27"/>
      <c r="CD17" s="27"/>
    </row>
    <row r="18" spans="37:82">
      <c r="AK18" s="27"/>
      <c r="AL18" s="27"/>
      <c r="AM18" s="27"/>
      <c r="AN18" s="27"/>
      <c r="AO18" s="27"/>
      <c r="AP18" s="27"/>
      <c r="AX18" s="27"/>
      <c r="AY18" s="27"/>
      <c r="AZ18" s="27"/>
      <c r="BA18" s="27"/>
      <c r="BB18" s="27"/>
      <c r="BC18" s="27"/>
      <c r="BK18" s="27"/>
      <c r="BL18" s="27"/>
      <c r="BM18" s="27"/>
      <c r="BN18" s="27"/>
      <c r="BO18" s="27"/>
      <c r="BP18" s="27"/>
      <c r="BY18" s="27"/>
      <c r="BZ18" s="27"/>
      <c r="CA18" s="27"/>
      <c r="CB18" s="27"/>
      <c r="CC18" s="27"/>
      <c r="CD18" s="27"/>
    </row>
    <row r="19" spans="37:82">
      <c r="AK19" s="27"/>
      <c r="AL19" s="27"/>
      <c r="AM19" s="27"/>
      <c r="AN19" s="27"/>
      <c r="AO19" s="27"/>
      <c r="AP19" s="27"/>
      <c r="AX19" s="27"/>
      <c r="AY19" s="27"/>
      <c r="AZ19" s="27"/>
      <c r="BA19" s="27"/>
      <c r="BB19" s="27"/>
      <c r="BC19" s="27"/>
      <c r="BK19" s="27"/>
      <c r="BL19" s="27"/>
      <c r="BM19" s="27"/>
      <c r="BN19" s="27"/>
      <c r="BO19" s="27"/>
      <c r="BP19" s="27"/>
      <c r="BY19" s="27"/>
      <c r="BZ19" s="27"/>
      <c r="CA19" s="27"/>
      <c r="CB19" s="27"/>
      <c r="CC19" s="27"/>
      <c r="CD19" s="27"/>
    </row>
    <row r="20" spans="37:82">
      <c r="AK20" s="27"/>
      <c r="AL20" s="27"/>
      <c r="AM20" s="27"/>
      <c r="AN20" s="27"/>
      <c r="AO20" s="27"/>
      <c r="AP20" s="27"/>
      <c r="AX20" s="27"/>
      <c r="AY20" s="27"/>
      <c r="AZ20" s="27"/>
      <c r="BA20" s="27"/>
      <c r="BB20" s="27"/>
      <c r="BC20" s="27"/>
      <c r="BK20" s="27"/>
      <c r="BL20" s="27"/>
      <c r="BM20" s="27"/>
      <c r="BN20" s="27"/>
      <c r="BO20" s="27"/>
      <c r="BP20" s="27"/>
      <c r="BY20" s="27"/>
      <c r="BZ20" s="27"/>
      <c r="CA20" s="27"/>
      <c r="CB20" s="27"/>
      <c r="CC20" s="27"/>
      <c r="CD20" s="27"/>
    </row>
    <row r="21" spans="37:82">
      <c r="AK21" s="27"/>
      <c r="AL21" s="27"/>
      <c r="AM21" s="27"/>
      <c r="AN21" s="27"/>
      <c r="AO21" s="27"/>
      <c r="AP21" s="27"/>
      <c r="AX21" s="27"/>
      <c r="AY21" s="27"/>
      <c r="AZ21" s="27"/>
      <c r="BA21" s="27"/>
      <c r="BB21" s="27"/>
      <c r="BC21" s="27"/>
      <c r="BK21" s="27"/>
      <c r="BL21" s="27"/>
      <c r="BM21" s="27"/>
      <c r="BN21" s="27"/>
      <c r="BO21" s="27"/>
      <c r="BP21" s="27"/>
      <c r="BY21" s="27"/>
      <c r="BZ21" s="27"/>
      <c r="CA21" s="27"/>
      <c r="CB21" s="27"/>
      <c r="CC21" s="27"/>
      <c r="CD21" s="27"/>
    </row>
    <row r="22" spans="37:82">
      <c r="AK22" s="27"/>
      <c r="AL22" s="27"/>
      <c r="AM22" s="27"/>
      <c r="AN22" s="27"/>
      <c r="AO22" s="27"/>
      <c r="AP22" s="27"/>
      <c r="AX22" s="27"/>
      <c r="AY22" s="27"/>
      <c r="AZ22" s="27"/>
      <c r="BA22" s="27"/>
      <c r="BB22" s="27"/>
      <c r="BC22" s="27"/>
      <c r="BK22" s="27"/>
      <c r="BL22" s="27"/>
      <c r="BM22" s="27"/>
      <c r="BN22" s="27"/>
      <c r="BO22" s="27"/>
      <c r="BP22" s="27"/>
      <c r="BY22" s="27"/>
      <c r="BZ22" s="27"/>
      <c r="CA22" s="27"/>
      <c r="CB22" s="27"/>
      <c r="CC22" s="27"/>
      <c r="CD22" s="27"/>
    </row>
    <row r="23" spans="37:82">
      <c r="AK23" s="27"/>
      <c r="AL23" s="27"/>
      <c r="AM23" s="27"/>
      <c r="AN23" s="27"/>
      <c r="AO23" s="27"/>
      <c r="AP23" s="27"/>
      <c r="AX23" s="27"/>
      <c r="AY23" s="27"/>
      <c r="AZ23" s="27"/>
      <c r="BA23" s="27"/>
      <c r="BB23" s="27"/>
      <c r="BC23" s="27"/>
      <c r="BK23" s="27"/>
      <c r="BL23" s="27"/>
      <c r="BM23" s="27"/>
      <c r="BN23" s="27"/>
      <c r="BO23" s="27"/>
      <c r="BP23" s="27"/>
      <c r="BY23" s="27"/>
      <c r="BZ23" s="27"/>
      <c r="CA23" s="27"/>
      <c r="CB23" s="27"/>
      <c r="CC23" s="27"/>
      <c r="CD23" s="27"/>
    </row>
    <row r="24" spans="37:82">
      <c r="AK24" s="27"/>
      <c r="AL24" s="27"/>
      <c r="AM24" s="27"/>
      <c r="AN24" s="27"/>
      <c r="AO24" s="27"/>
      <c r="AP24" s="27"/>
      <c r="AX24" s="27"/>
      <c r="AY24" s="27"/>
      <c r="AZ24" s="27"/>
      <c r="BA24" s="27"/>
      <c r="BB24" s="27"/>
      <c r="BC24" s="27"/>
      <c r="BK24" s="27"/>
      <c r="BL24" s="27"/>
      <c r="BM24" s="27"/>
      <c r="BN24" s="27"/>
      <c r="BO24" s="27"/>
      <c r="BP24" s="27"/>
      <c r="BY24" s="27"/>
      <c r="BZ24" s="27"/>
      <c r="CA24" s="27"/>
      <c r="CB24" s="27"/>
      <c r="CC24" s="27"/>
      <c r="CD24" s="27"/>
    </row>
    <row r="25" spans="37:82">
      <c r="AK25" s="27"/>
      <c r="AL25" s="27"/>
      <c r="AM25" s="27"/>
      <c r="AN25" s="27"/>
      <c r="AO25" s="27"/>
      <c r="AP25" s="27"/>
      <c r="AX25" s="27"/>
      <c r="AY25" s="27"/>
      <c r="AZ25" s="27"/>
      <c r="BA25" s="27"/>
      <c r="BB25" s="27"/>
      <c r="BC25" s="27"/>
      <c r="BK25" s="27"/>
      <c r="BL25" s="27"/>
      <c r="BM25" s="27"/>
      <c r="BN25" s="27"/>
      <c r="BO25" s="27"/>
      <c r="BP25" s="27"/>
      <c r="BY25" s="27"/>
      <c r="BZ25" s="27"/>
      <c r="CA25" s="27"/>
      <c r="CB25" s="27"/>
      <c r="CC25" s="27"/>
      <c r="CD25" s="27"/>
    </row>
    <row r="26" spans="37:82">
      <c r="AK26" s="27"/>
      <c r="AL26" s="27"/>
      <c r="AM26" s="27"/>
      <c r="AN26" s="27"/>
      <c r="AO26" s="27"/>
      <c r="AP26" s="27"/>
      <c r="AX26" s="27"/>
      <c r="AY26" s="27"/>
      <c r="AZ26" s="27"/>
      <c r="BA26" s="27"/>
      <c r="BB26" s="27"/>
      <c r="BC26" s="27"/>
      <c r="BK26" s="27"/>
      <c r="BL26" s="27"/>
      <c r="BM26" s="27"/>
      <c r="BN26" s="27"/>
      <c r="BO26" s="27"/>
      <c r="BP26" s="27"/>
      <c r="BY26" s="27"/>
      <c r="BZ26" s="27"/>
      <c r="CA26" s="27"/>
      <c r="CB26" s="27"/>
      <c r="CC26" s="27"/>
      <c r="CD26" s="27"/>
    </row>
    <row r="27" spans="37:82">
      <c r="AK27" s="27"/>
      <c r="AL27" s="27"/>
      <c r="AM27" s="27"/>
      <c r="AN27" s="27"/>
      <c r="AO27" s="27"/>
      <c r="AP27" s="27"/>
      <c r="AX27" s="27"/>
      <c r="AY27" s="27"/>
      <c r="AZ27" s="27"/>
      <c r="BA27" s="27"/>
      <c r="BB27" s="27"/>
      <c r="BC27" s="27"/>
      <c r="BK27" s="27"/>
      <c r="BL27" s="27"/>
      <c r="BM27" s="27"/>
      <c r="BN27" s="27"/>
      <c r="BO27" s="27"/>
      <c r="BP27" s="27"/>
      <c r="BY27" s="27"/>
      <c r="BZ27" s="27"/>
      <c r="CA27" s="27"/>
      <c r="CB27" s="27"/>
      <c r="CC27" s="27"/>
      <c r="CD27" s="27"/>
    </row>
    <row r="28" spans="37:82">
      <c r="BY28" s="27"/>
      <c r="BZ28" s="27"/>
      <c r="CA28" s="27"/>
      <c r="CB28" s="27"/>
      <c r="CC28" s="27"/>
      <c r="CD28" s="27"/>
    </row>
    <row r="31" spans="37:82">
      <c r="AK31" s="27"/>
      <c r="AL31" s="27"/>
      <c r="AM31" s="27"/>
      <c r="AN31" s="27"/>
      <c r="AO31" s="27"/>
      <c r="AP31" s="27"/>
      <c r="AX31" s="27"/>
      <c r="AY31" s="27"/>
      <c r="AZ31" s="27"/>
      <c r="BA31" s="27"/>
      <c r="BB31" s="27"/>
      <c r="BC31" s="27"/>
      <c r="BK31" s="27"/>
      <c r="BL31" s="27"/>
      <c r="BM31" s="27"/>
      <c r="BN31" s="27"/>
      <c r="BO31" s="27"/>
      <c r="BP31" s="27"/>
      <c r="BY31" s="27"/>
      <c r="BZ31" s="27"/>
      <c r="CA31" s="27"/>
      <c r="CB31" s="27"/>
      <c r="CC31" s="27"/>
      <c r="CD31" s="27"/>
    </row>
    <row r="32" spans="37:82">
      <c r="AK32" s="27"/>
      <c r="AL32" s="27"/>
      <c r="AM32" s="27"/>
      <c r="AN32" s="27"/>
      <c r="AO32" s="27"/>
      <c r="AP32" s="27"/>
      <c r="AX32" s="27"/>
      <c r="AY32" s="27"/>
      <c r="AZ32" s="27"/>
      <c r="BA32" s="27"/>
      <c r="BB32" s="27"/>
      <c r="BC32" s="27"/>
      <c r="BK32" s="27"/>
      <c r="BL32" s="27"/>
      <c r="BM32" s="27"/>
      <c r="BN32" s="27"/>
      <c r="BO32" s="27"/>
      <c r="BP32" s="27"/>
      <c r="BY32" s="27"/>
      <c r="BZ32" s="27"/>
      <c r="CA32" s="27"/>
      <c r="CB32" s="27"/>
      <c r="CC32" s="27"/>
      <c r="CD32" s="27"/>
    </row>
    <row r="33" spans="32:82">
      <c r="AF33" s="24"/>
      <c r="AG33" s="24" t="s">
        <v>247</v>
      </c>
      <c r="AH33" s="36"/>
      <c r="AI33" s="30"/>
      <c r="AK33" s="27"/>
      <c r="AL33" s="27"/>
      <c r="AM33" s="27"/>
      <c r="AN33" s="27"/>
      <c r="AO33" s="27"/>
      <c r="AP33" s="27"/>
      <c r="AS33" s="24"/>
      <c r="AT33" s="24" t="s">
        <v>247</v>
      </c>
      <c r="AU33" s="23"/>
      <c r="AV33" s="24"/>
      <c r="AX33" s="27"/>
      <c r="AY33" s="27"/>
      <c r="AZ33" s="27"/>
      <c r="BA33" s="27"/>
      <c r="BB33" s="27"/>
      <c r="BC33" s="27"/>
      <c r="BF33" s="24"/>
      <c r="BG33" s="24" t="s">
        <v>272</v>
      </c>
      <c r="BH33" s="7"/>
      <c r="BI33" s="34"/>
      <c r="BK33" s="27"/>
      <c r="BL33" s="27"/>
      <c r="BM33" s="27"/>
      <c r="BN33" s="27"/>
      <c r="BO33" s="27"/>
      <c r="BP33" s="27"/>
      <c r="BS33" s="24"/>
      <c r="BT33" s="24" t="s">
        <v>245</v>
      </c>
      <c r="BU33" s="24"/>
      <c r="BV33" s="24"/>
      <c r="BY33" s="27"/>
      <c r="BZ33" s="27"/>
      <c r="CA33" s="27"/>
      <c r="CB33" s="27"/>
      <c r="CC33" s="27"/>
      <c r="CD33" s="27"/>
    </row>
    <row r="34" spans="32:82">
      <c r="AF34" s="24"/>
      <c r="AG34" s="24" t="s">
        <v>96</v>
      </c>
      <c r="AH34" s="36"/>
      <c r="AI34" s="30"/>
      <c r="AK34" s="27"/>
      <c r="AL34" s="27"/>
      <c r="AM34" s="27"/>
      <c r="AN34" s="27"/>
      <c r="AO34" s="27"/>
      <c r="AP34" s="27"/>
      <c r="AS34" s="24"/>
      <c r="AT34" s="24" t="s">
        <v>246</v>
      </c>
      <c r="AU34" s="23"/>
      <c r="AV34" s="24"/>
      <c r="AX34" s="27"/>
      <c r="AY34" s="27"/>
      <c r="AZ34" s="27"/>
      <c r="BA34" s="27"/>
      <c r="BB34" s="27"/>
      <c r="BC34" s="27"/>
      <c r="BF34" s="24"/>
      <c r="BG34" s="24" t="s">
        <v>245</v>
      </c>
      <c r="BH34" s="7"/>
      <c r="BI34" s="34"/>
      <c r="BK34" s="27"/>
      <c r="BL34" s="27"/>
      <c r="BM34" s="27"/>
      <c r="BN34" s="27"/>
      <c r="BO34" s="27"/>
      <c r="BP34" s="27"/>
      <c r="BS34" s="24"/>
      <c r="BT34" s="24" t="s">
        <v>246</v>
      </c>
      <c r="BU34" s="24"/>
      <c r="BV34" s="24"/>
      <c r="BY34" s="27"/>
      <c r="BZ34" s="27"/>
      <c r="CA34" s="27"/>
      <c r="CB34" s="27"/>
      <c r="CC34" s="27"/>
      <c r="CD34" s="27"/>
    </row>
    <row r="35" spans="32:82">
      <c r="AF35" s="24"/>
      <c r="AG35" s="24" t="s">
        <v>241</v>
      </c>
      <c r="AH35" s="36"/>
      <c r="AI35" s="30"/>
      <c r="AK35" s="27"/>
      <c r="AL35" s="27"/>
      <c r="AM35" s="27"/>
      <c r="AN35" s="27"/>
      <c r="AO35" s="27"/>
      <c r="AP35" s="27"/>
      <c r="AS35" s="24"/>
      <c r="AT35" s="24" t="s">
        <v>96</v>
      </c>
      <c r="AU35" s="23"/>
      <c r="AV35" s="24"/>
      <c r="AX35" s="27"/>
      <c r="AY35" s="27"/>
      <c r="AZ35" s="27"/>
      <c r="BA35" s="27"/>
      <c r="BB35" s="27"/>
      <c r="BC35" s="27"/>
      <c r="BF35" s="24"/>
      <c r="BG35" s="24" t="s">
        <v>246</v>
      </c>
      <c r="BH35" s="7"/>
      <c r="BI35" s="34"/>
      <c r="BK35" s="27"/>
      <c r="BL35" s="27"/>
      <c r="BM35" s="27"/>
      <c r="BN35" s="27"/>
      <c r="BO35" s="27"/>
      <c r="BP35" s="27"/>
      <c r="BS35" s="24"/>
      <c r="BT35" s="24" t="s">
        <v>96</v>
      </c>
      <c r="BU35" s="24"/>
      <c r="BV35" s="24"/>
      <c r="BY35" s="27"/>
      <c r="BZ35" s="27"/>
      <c r="CA35" s="27"/>
      <c r="CB35" s="27"/>
      <c r="CC35" s="27"/>
      <c r="CD35" s="27"/>
    </row>
    <row r="36" spans="32:82">
      <c r="AK36" s="27"/>
      <c r="AL36" s="27"/>
      <c r="AM36" s="27"/>
      <c r="AN36" s="27"/>
      <c r="AO36" s="27"/>
      <c r="AP36" s="27"/>
      <c r="AS36" s="24"/>
      <c r="AT36" s="24" t="s">
        <v>241</v>
      </c>
      <c r="AU36" s="23"/>
      <c r="AV36" s="24"/>
      <c r="AX36" s="27"/>
      <c r="AY36" s="27"/>
      <c r="AZ36" s="27"/>
      <c r="BA36" s="27"/>
      <c r="BB36" s="27"/>
      <c r="BC36" s="27"/>
      <c r="BF36" s="24"/>
      <c r="BG36" s="24" t="s">
        <v>96</v>
      </c>
      <c r="BH36" s="7"/>
      <c r="BI36" s="34"/>
      <c r="BK36" s="27"/>
      <c r="BL36" s="27"/>
      <c r="BM36" s="27"/>
      <c r="BN36" s="27"/>
      <c r="BO36" s="27"/>
      <c r="BP36" s="27"/>
      <c r="BS36" s="24"/>
      <c r="BT36" s="24" t="s">
        <v>241</v>
      </c>
      <c r="BU36" s="24"/>
      <c r="BV36" s="24"/>
      <c r="BY36" s="27"/>
      <c r="BZ36" s="27"/>
      <c r="CA36" s="27"/>
      <c r="CB36" s="27"/>
      <c r="CC36" s="27"/>
      <c r="CD36" s="27"/>
    </row>
    <row r="37" spans="32:82">
      <c r="AK37" s="27"/>
      <c r="AL37" s="27"/>
      <c r="AM37" s="27"/>
      <c r="AN37" s="27"/>
      <c r="AO37" s="27"/>
      <c r="AP37" s="27"/>
      <c r="AS37" s="24"/>
      <c r="AT37" s="24" t="s">
        <v>242</v>
      </c>
      <c r="AU37" s="23"/>
      <c r="AV37" s="24"/>
      <c r="AX37" s="27"/>
      <c r="AY37" s="27"/>
      <c r="AZ37" s="27"/>
      <c r="BA37" s="27"/>
      <c r="BB37" s="27"/>
      <c r="BC37" s="27"/>
      <c r="BF37" s="24"/>
      <c r="BG37" s="24" t="s">
        <v>241</v>
      </c>
      <c r="BH37" s="7"/>
      <c r="BI37" s="34"/>
      <c r="BK37" s="27"/>
      <c r="BL37" s="27"/>
      <c r="BM37" s="27"/>
      <c r="BN37" s="27"/>
      <c r="BO37" s="27"/>
      <c r="BP37" s="27"/>
      <c r="BS37" s="24"/>
      <c r="BT37" s="24" t="s">
        <v>242</v>
      </c>
      <c r="BU37" s="24"/>
      <c r="BV37" s="24"/>
      <c r="BY37" s="27"/>
      <c r="BZ37" s="27"/>
      <c r="CA37" s="27"/>
      <c r="CB37" s="27"/>
      <c r="CC37" s="27"/>
      <c r="CD37" s="27"/>
    </row>
    <row r="38" spans="32:82">
      <c r="AK38" s="27"/>
      <c r="AL38" s="27"/>
      <c r="AM38" s="27"/>
      <c r="AN38" s="27"/>
      <c r="AO38" s="27"/>
      <c r="AP38" s="27"/>
      <c r="AU38" s="25"/>
      <c r="AX38" s="27"/>
      <c r="AY38" s="27"/>
      <c r="AZ38" s="27"/>
      <c r="BA38" s="27"/>
      <c r="BB38" s="27"/>
      <c r="BC38" s="27"/>
      <c r="BF38" s="24"/>
      <c r="BG38" s="24" t="s">
        <v>242</v>
      </c>
      <c r="BH38" s="7"/>
      <c r="BI38" s="34"/>
      <c r="BK38" s="27"/>
      <c r="BL38" s="27"/>
      <c r="BM38" s="27"/>
      <c r="BN38" s="27"/>
      <c r="BO38" s="27"/>
      <c r="BP38" s="27"/>
      <c r="BS38" s="24"/>
      <c r="BT38" s="24" t="s">
        <v>244</v>
      </c>
      <c r="BU38" s="24"/>
      <c r="BV38" s="24"/>
      <c r="BY38" s="27"/>
      <c r="BZ38" s="27"/>
      <c r="CA38" s="27"/>
      <c r="CB38" s="27"/>
      <c r="CC38" s="27"/>
      <c r="CD38" s="27"/>
    </row>
    <row r="39" spans="32:82">
      <c r="AK39" s="27"/>
      <c r="AL39" s="27"/>
      <c r="AM39" s="27"/>
      <c r="AN39" s="27"/>
      <c r="AO39" s="27"/>
      <c r="AP39" s="27"/>
      <c r="AU39" s="25"/>
      <c r="AX39" s="27"/>
      <c r="AY39" s="27"/>
      <c r="AZ39" s="27"/>
      <c r="BA39" s="27"/>
      <c r="BB39" s="27"/>
      <c r="BC39" s="27"/>
      <c r="BF39" s="24"/>
      <c r="BG39" s="24" t="s">
        <v>244</v>
      </c>
      <c r="BH39" s="7"/>
      <c r="BI39" s="34"/>
      <c r="BK39" s="27"/>
      <c r="BL39" s="27"/>
      <c r="BM39" s="27"/>
      <c r="BN39" s="27"/>
      <c r="BO39" s="27"/>
      <c r="BP39" s="27"/>
      <c r="BY39" s="27"/>
      <c r="BZ39" s="27"/>
      <c r="CA39" s="27"/>
      <c r="CB39" s="27"/>
      <c r="CC39" s="27"/>
      <c r="CD39" s="27"/>
    </row>
    <row r="40" spans="32:82">
      <c r="AK40" s="27"/>
      <c r="AL40" s="27"/>
      <c r="AM40" s="27"/>
      <c r="AN40" s="27"/>
      <c r="AO40" s="27"/>
      <c r="AP40" s="27"/>
      <c r="AX40" s="27"/>
      <c r="AY40" s="27"/>
      <c r="AZ40" s="27"/>
      <c r="BA40" s="27"/>
      <c r="BB40" s="27"/>
      <c r="BC40" s="27"/>
      <c r="BK40" s="27"/>
      <c r="BL40" s="27"/>
      <c r="BM40" s="27"/>
      <c r="BN40" s="27"/>
      <c r="BO40" s="27"/>
      <c r="BP40" s="27"/>
      <c r="BY40" s="27"/>
      <c r="BZ40" s="27"/>
      <c r="CA40" s="27"/>
      <c r="CB40" s="27"/>
      <c r="CC40" s="27"/>
      <c r="CD40" s="27"/>
    </row>
    <row r="41" spans="32:82">
      <c r="AK41" s="27"/>
      <c r="AL41" s="27"/>
      <c r="AM41" s="27"/>
      <c r="AN41" s="27"/>
      <c r="AO41" s="27"/>
      <c r="AP41" s="27"/>
      <c r="AX41" s="27"/>
      <c r="AY41" s="27"/>
      <c r="AZ41" s="27"/>
      <c r="BA41" s="27"/>
      <c r="BB41" s="27"/>
      <c r="BC41" s="27"/>
      <c r="BK41" s="27"/>
      <c r="BL41" s="27"/>
      <c r="BM41" s="27"/>
      <c r="BN41" s="27"/>
      <c r="BO41" s="27"/>
      <c r="BP41" s="27"/>
      <c r="BY41" s="27"/>
      <c r="BZ41" s="27"/>
      <c r="CA41" s="27"/>
      <c r="CB41" s="27"/>
      <c r="CC41" s="27"/>
      <c r="CD41" s="27"/>
    </row>
    <row r="42" spans="32:82">
      <c r="AK42" s="27"/>
      <c r="AL42" s="27"/>
      <c r="AM42" s="27"/>
      <c r="AN42" s="27"/>
      <c r="AO42" s="27"/>
      <c r="AP42" s="27"/>
      <c r="AX42" s="27"/>
      <c r="AY42" s="27"/>
      <c r="AZ42" s="27"/>
      <c r="BA42" s="27"/>
      <c r="BB42" s="27"/>
      <c r="BC42" s="27"/>
      <c r="BK42" s="27"/>
      <c r="BL42" s="27"/>
      <c r="BM42" s="27"/>
      <c r="BN42" s="27"/>
      <c r="BO42" s="27"/>
      <c r="BP42" s="27"/>
      <c r="BY42" s="27"/>
      <c r="BZ42" s="27"/>
      <c r="CA42" s="27"/>
      <c r="CB42" s="27"/>
      <c r="CC42" s="27"/>
      <c r="CD42" s="27"/>
    </row>
    <row r="43" spans="32:82">
      <c r="AK43" s="27"/>
      <c r="AL43" s="27"/>
      <c r="AM43" s="27"/>
      <c r="AN43" s="27"/>
      <c r="AO43" s="27"/>
      <c r="AP43" s="27"/>
      <c r="AX43" s="27"/>
      <c r="AY43" s="27"/>
      <c r="AZ43" s="27"/>
      <c r="BA43" s="27"/>
      <c r="BB43" s="27"/>
      <c r="BC43" s="27"/>
      <c r="BK43" s="27"/>
      <c r="BL43" s="27"/>
      <c r="BM43" s="27"/>
      <c r="BN43" s="27"/>
      <c r="BO43" s="27"/>
      <c r="BP43" s="27"/>
      <c r="BY43" s="27"/>
      <c r="BZ43" s="27"/>
      <c r="CA43" s="27"/>
      <c r="CB43" s="27"/>
      <c r="CC43" s="27"/>
      <c r="CD43" s="27"/>
    </row>
    <row r="44" spans="32:82">
      <c r="AK44" s="27"/>
      <c r="AL44" s="27"/>
      <c r="AM44" s="27"/>
      <c r="AN44" s="27"/>
      <c r="AO44" s="27"/>
      <c r="AP44" s="27"/>
      <c r="AX44" s="27"/>
      <c r="AY44" s="27"/>
      <c r="AZ44" s="27"/>
      <c r="BA44" s="27"/>
      <c r="BB44" s="27"/>
      <c r="BC44" s="27"/>
      <c r="BK44" s="27"/>
      <c r="BL44" s="27"/>
      <c r="BM44" s="27"/>
      <c r="BN44" s="27"/>
      <c r="BO44" s="27"/>
      <c r="BP44" s="27"/>
      <c r="BY44" s="27"/>
      <c r="BZ44" s="27"/>
      <c r="CA44" s="27"/>
      <c r="CB44" s="27"/>
      <c r="CC44" s="27"/>
      <c r="CD44" s="27"/>
    </row>
    <row r="45" spans="32:82">
      <c r="AK45" s="27"/>
      <c r="AL45" s="27"/>
      <c r="AM45" s="27"/>
      <c r="AN45" s="27"/>
      <c r="AO45" s="27"/>
      <c r="AP45" s="27"/>
      <c r="AX45" s="27"/>
      <c r="AY45" s="27"/>
      <c r="AZ45" s="27"/>
      <c r="BA45" s="27"/>
      <c r="BB45" s="27"/>
      <c r="BC45" s="27"/>
      <c r="BK45" s="27"/>
      <c r="BL45" s="27"/>
      <c r="BM45" s="27"/>
      <c r="BN45" s="27"/>
      <c r="BO45" s="27"/>
      <c r="BP45" s="27"/>
      <c r="BY45" s="27"/>
      <c r="BZ45" s="27"/>
      <c r="CA45" s="27"/>
      <c r="CB45" s="27"/>
      <c r="CC45" s="27"/>
      <c r="CD45" s="27"/>
    </row>
    <row r="46" spans="32:82">
      <c r="AK46" s="27"/>
      <c r="AL46" s="27"/>
      <c r="AM46" s="27"/>
      <c r="AN46" s="27"/>
      <c r="AO46" s="27"/>
      <c r="AP46" s="27"/>
      <c r="AX46" s="27"/>
      <c r="AY46" s="27"/>
      <c r="AZ46" s="27"/>
      <c r="BA46" s="27"/>
      <c r="BB46" s="27"/>
      <c r="BC46" s="27"/>
      <c r="BK46" s="27"/>
      <c r="BL46" s="27"/>
      <c r="BM46" s="27"/>
      <c r="BN46" s="27"/>
      <c r="BO46" s="27"/>
      <c r="BP46" s="27"/>
      <c r="BY46" s="27"/>
      <c r="BZ46" s="27"/>
      <c r="CA46" s="27"/>
      <c r="CB46" s="27"/>
      <c r="CC46" s="27"/>
      <c r="CD46" s="27"/>
    </row>
    <row r="47" spans="32:82">
      <c r="AK47" s="27"/>
      <c r="AL47" s="27"/>
      <c r="AM47" s="27"/>
      <c r="AN47" s="27"/>
      <c r="AO47" s="27"/>
      <c r="AP47" s="27"/>
      <c r="AX47" s="27"/>
      <c r="AY47" s="27"/>
      <c r="AZ47" s="27"/>
      <c r="BA47" s="27"/>
      <c r="BB47" s="27"/>
      <c r="BC47" s="27"/>
      <c r="BK47" s="27"/>
      <c r="BL47" s="27"/>
      <c r="BM47" s="27"/>
      <c r="BN47" s="27"/>
      <c r="BO47" s="27"/>
      <c r="BP47" s="27"/>
      <c r="BY47" s="27"/>
      <c r="BZ47" s="27"/>
      <c r="CA47" s="27"/>
      <c r="CB47" s="27"/>
      <c r="CC47" s="27"/>
      <c r="CD47" s="27"/>
    </row>
    <row r="48" spans="32:82">
      <c r="AK48" s="27"/>
      <c r="AL48" s="27"/>
      <c r="AM48" s="27"/>
      <c r="AN48" s="27"/>
      <c r="AO48" s="27"/>
      <c r="AP48" s="27"/>
      <c r="AX48" s="27"/>
      <c r="AY48" s="27"/>
      <c r="AZ48" s="27"/>
      <c r="BA48" s="27"/>
      <c r="BB48" s="27"/>
      <c r="BC48" s="27"/>
      <c r="BK48" s="27"/>
      <c r="BL48" s="27"/>
      <c r="BM48" s="27"/>
      <c r="BN48" s="27"/>
      <c r="BO48" s="27"/>
      <c r="BP48" s="27"/>
      <c r="BY48" s="27"/>
      <c r="BZ48" s="27"/>
      <c r="CA48" s="27"/>
      <c r="CB48" s="27"/>
      <c r="CC48" s="27"/>
      <c r="CD48" s="27"/>
    </row>
    <row r="49" spans="32:82">
      <c r="AK49" s="27"/>
      <c r="AL49" s="27"/>
      <c r="AM49" s="27"/>
      <c r="AN49" s="27"/>
      <c r="AO49" s="27"/>
      <c r="AP49" s="27"/>
      <c r="AX49" s="27"/>
      <c r="AY49" s="27"/>
      <c r="AZ49" s="27"/>
      <c r="BA49" s="27"/>
      <c r="BB49" s="27"/>
      <c r="BC49" s="27"/>
      <c r="BK49" s="27"/>
      <c r="BL49" s="27"/>
      <c r="BM49" s="27"/>
      <c r="BN49" s="27"/>
      <c r="BO49" s="27"/>
      <c r="BP49" s="27"/>
      <c r="BY49" s="27"/>
      <c r="BZ49" s="27"/>
      <c r="CA49" s="27"/>
      <c r="CB49" s="27"/>
      <c r="CC49" s="27"/>
      <c r="CD49" s="27"/>
    </row>
    <row r="50" spans="32:82">
      <c r="AK50" s="27"/>
      <c r="AL50" s="27"/>
      <c r="AM50" s="27"/>
      <c r="AN50" s="27"/>
      <c r="AO50" s="27"/>
      <c r="AP50" s="27"/>
      <c r="AX50" s="27"/>
      <c r="AY50" s="27"/>
      <c r="AZ50" s="27"/>
      <c r="BA50" s="27"/>
      <c r="BB50" s="27"/>
      <c r="BC50" s="27"/>
      <c r="BK50" s="27"/>
      <c r="BL50" s="27"/>
      <c r="BM50" s="27"/>
      <c r="BN50" s="27"/>
      <c r="BO50" s="27"/>
      <c r="BP50" s="27"/>
      <c r="BY50" s="27"/>
      <c r="BZ50" s="27"/>
      <c r="CA50" s="27"/>
      <c r="CB50" s="27"/>
      <c r="CC50" s="27"/>
      <c r="CD50" s="27"/>
    </row>
    <row r="51" spans="32:82">
      <c r="AK51" s="27"/>
      <c r="AL51" s="27"/>
      <c r="AM51" s="27"/>
      <c r="AN51" s="27"/>
      <c r="AO51" s="27"/>
      <c r="AP51" s="27"/>
      <c r="AX51" s="27"/>
      <c r="AY51" s="27"/>
      <c r="AZ51" s="27"/>
      <c r="BA51" s="27"/>
      <c r="BB51" s="27"/>
      <c r="BC51" s="27"/>
      <c r="BK51" s="27"/>
      <c r="BL51" s="27"/>
      <c r="BM51" s="27"/>
      <c r="BN51" s="27"/>
      <c r="BO51" s="27"/>
      <c r="BP51" s="27"/>
      <c r="BY51" s="27"/>
      <c r="BZ51" s="27"/>
      <c r="CA51" s="27"/>
      <c r="CB51" s="27"/>
      <c r="CC51" s="27"/>
      <c r="CD51" s="27"/>
    </row>
    <row r="52" spans="32:82">
      <c r="AK52" s="27"/>
      <c r="AL52" s="27"/>
      <c r="AM52" s="27"/>
      <c r="AN52" s="27"/>
      <c r="AO52" s="27"/>
      <c r="AP52" s="27"/>
      <c r="AX52" s="27"/>
      <c r="AY52" s="27"/>
      <c r="AZ52" s="27"/>
      <c r="BA52" s="27"/>
      <c r="BB52" s="27"/>
      <c r="BC52" s="27"/>
      <c r="BK52" s="27"/>
      <c r="BL52" s="27"/>
      <c r="BM52" s="27"/>
      <c r="BN52" s="27"/>
      <c r="BO52" s="27"/>
      <c r="BP52" s="27"/>
      <c r="BY52" s="27"/>
      <c r="BZ52" s="27"/>
      <c r="CA52" s="27"/>
      <c r="CB52" s="27"/>
      <c r="CC52" s="27"/>
      <c r="CD52" s="27"/>
    </row>
    <row r="56" spans="32:82">
      <c r="AK56" s="27"/>
      <c r="AL56" s="27"/>
      <c r="AM56" s="27"/>
      <c r="AN56" s="27"/>
      <c r="AO56" s="27"/>
      <c r="AP56" s="27"/>
      <c r="AX56" s="27"/>
      <c r="AY56" s="27"/>
      <c r="AZ56" s="27"/>
      <c r="BA56" s="27"/>
      <c r="BB56" s="27"/>
      <c r="BC56" s="27"/>
      <c r="BK56" s="27"/>
      <c r="BL56" s="27"/>
      <c r="BM56" s="27"/>
      <c r="BN56" s="27"/>
      <c r="BO56" s="27"/>
      <c r="BP56" s="27"/>
    </row>
    <row r="57" spans="32:82">
      <c r="AK57" s="27"/>
      <c r="AL57" s="27"/>
      <c r="AM57" s="27"/>
      <c r="AN57" s="27"/>
      <c r="AO57" s="27"/>
      <c r="AP57" s="27"/>
      <c r="AX57" s="27"/>
      <c r="AY57" s="27"/>
      <c r="AZ57" s="27"/>
      <c r="BA57" s="27"/>
      <c r="BB57" s="27"/>
      <c r="BC57" s="27"/>
      <c r="BK57" s="27"/>
      <c r="BL57" s="27"/>
      <c r="BM57" s="27"/>
      <c r="BN57" s="27"/>
      <c r="BO57" s="27"/>
      <c r="BP57" s="27"/>
    </row>
    <row r="58" spans="32:82">
      <c r="AF58" s="24"/>
      <c r="AG58" s="24" t="s">
        <v>247</v>
      </c>
      <c r="AH58" s="36"/>
      <c r="AI58" s="30"/>
      <c r="AK58" s="27"/>
      <c r="AL58" s="27"/>
      <c r="AM58" s="27"/>
      <c r="AN58" s="27"/>
      <c r="AO58" s="27"/>
      <c r="AP58" s="27"/>
      <c r="AS58" s="24"/>
      <c r="AT58" s="24" t="s">
        <v>272</v>
      </c>
      <c r="AU58" s="23"/>
      <c r="AV58" s="24"/>
      <c r="AX58" s="27"/>
      <c r="AY58" s="27"/>
      <c r="AZ58" s="27"/>
      <c r="BA58" s="27"/>
      <c r="BB58" s="27"/>
      <c r="BC58" s="27"/>
      <c r="BF58" s="24"/>
      <c r="BG58" s="24" t="s">
        <v>245</v>
      </c>
      <c r="BH58" s="7">
        <f>D7</f>
        <v>10.329253333333334</v>
      </c>
      <c r="BI58" s="34" t="s">
        <v>93</v>
      </c>
      <c r="BK58" s="27"/>
      <c r="BL58" s="27"/>
      <c r="BM58" s="27"/>
      <c r="BN58" s="27"/>
      <c r="BO58" s="27"/>
      <c r="BP58" s="27"/>
    </row>
    <row r="59" spans="32:82">
      <c r="AF59" s="24"/>
      <c r="AG59" s="24" t="s">
        <v>246</v>
      </c>
      <c r="AH59" s="36"/>
      <c r="AI59" s="30"/>
      <c r="AK59" s="27"/>
      <c r="AL59" s="27"/>
      <c r="AM59" s="27"/>
      <c r="AN59" s="27"/>
      <c r="AO59" s="27"/>
      <c r="AP59" s="27"/>
      <c r="AS59" s="24"/>
      <c r="AT59" s="24" t="s">
        <v>245</v>
      </c>
      <c r="AU59" s="23"/>
      <c r="AV59" s="24"/>
      <c r="AX59" s="27"/>
      <c r="AY59" s="27"/>
      <c r="AZ59" s="27"/>
      <c r="BA59" s="27"/>
      <c r="BB59" s="27"/>
      <c r="BC59" s="27"/>
      <c r="BF59" s="24"/>
      <c r="BG59" s="24" t="s">
        <v>246</v>
      </c>
      <c r="BH59" s="7">
        <f>D8</f>
        <v>2.9</v>
      </c>
      <c r="BI59" s="34" t="s">
        <v>93</v>
      </c>
      <c r="BK59" s="27"/>
      <c r="BL59" s="27"/>
      <c r="BM59" s="27"/>
      <c r="BN59" s="27"/>
      <c r="BO59" s="27"/>
      <c r="BP59" s="27"/>
    </row>
    <row r="60" spans="32:82">
      <c r="AF60" s="24"/>
      <c r="AG60" s="24" t="s">
        <v>243</v>
      </c>
      <c r="AH60" s="36"/>
      <c r="AI60" s="30"/>
      <c r="AK60" s="27"/>
      <c r="AL60" s="27"/>
      <c r="AM60" s="27"/>
      <c r="AN60" s="27"/>
      <c r="AO60" s="27"/>
      <c r="AP60" s="27"/>
      <c r="AS60" s="24"/>
      <c r="AT60" s="24" t="s">
        <v>246</v>
      </c>
      <c r="AU60" s="23"/>
      <c r="AV60" s="24"/>
      <c r="AX60" s="27"/>
      <c r="AY60" s="27"/>
      <c r="AZ60" s="27"/>
      <c r="BA60" s="27"/>
      <c r="BB60" s="27"/>
      <c r="BC60" s="27"/>
      <c r="BF60" s="24"/>
      <c r="BG60" s="24" t="s">
        <v>96</v>
      </c>
      <c r="BH60" s="7">
        <f>0.4*D7</f>
        <v>4.1317013333333339</v>
      </c>
      <c r="BI60" s="34" t="s">
        <v>93</v>
      </c>
      <c r="BK60" s="27"/>
      <c r="BL60" s="27"/>
      <c r="BM60" s="27"/>
      <c r="BN60" s="27"/>
      <c r="BO60" s="27"/>
      <c r="BP60" s="27"/>
    </row>
    <row r="61" spans="32:82">
      <c r="AF61" s="24"/>
      <c r="AG61" s="24" t="s">
        <v>96</v>
      </c>
      <c r="AH61" s="36"/>
      <c r="AI61" s="30"/>
      <c r="AK61" s="27"/>
      <c r="AL61" s="27"/>
      <c r="AM61" s="27"/>
      <c r="AN61" s="27"/>
      <c r="AO61" s="27"/>
      <c r="AP61" s="27"/>
      <c r="AS61" s="24"/>
      <c r="AT61" s="24" t="s">
        <v>96</v>
      </c>
      <c r="AU61" s="23"/>
      <c r="AV61" s="24"/>
      <c r="AX61" s="27"/>
      <c r="AY61" s="27"/>
      <c r="AZ61" s="27"/>
      <c r="BA61" s="27"/>
      <c r="BB61" s="27"/>
      <c r="BC61" s="27"/>
      <c r="BF61" s="24"/>
      <c r="BG61" s="24" t="s">
        <v>241</v>
      </c>
      <c r="BH61" s="7">
        <f>0.16*D7</f>
        <v>1.6526805333333334</v>
      </c>
      <c r="BI61" s="34" t="s">
        <v>93</v>
      </c>
      <c r="BK61" s="27"/>
      <c r="BL61" s="27"/>
      <c r="BM61" s="27"/>
      <c r="BN61" s="27"/>
      <c r="BO61" s="27"/>
      <c r="BP61" s="27"/>
    </row>
    <row r="62" spans="32:82">
      <c r="AF62" s="24"/>
      <c r="AG62" s="24" t="s">
        <v>241</v>
      </c>
      <c r="AH62" s="36"/>
      <c r="AI62" s="30"/>
      <c r="AK62" s="27"/>
      <c r="AL62" s="27"/>
      <c r="AM62" s="27"/>
      <c r="AN62" s="27"/>
      <c r="AO62" s="27"/>
      <c r="AP62" s="27"/>
      <c r="AS62" s="24"/>
      <c r="AT62" s="24" t="s">
        <v>241</v>
      </c>
      <c r="AU62" s="23"/>
      <c r="AV62" s="24"/>
      <c r="AX62" s="27"/>
      <c r="AY62" s="27"/>
      <c r="AZ62" s="27"/>
      <c r="BA62" s="27"/>
      <c r="BB62" s="27"/>
      <c r="BC62" s="27"/>
      <c r="BF62" s="24"/>
      <c r="BG62" s="24" t="s">
        <v>242</v>
      </c>
      <c r="BH62" s="7">
        <f>2.2*D7</f>
        <v>22.724357333333337</v>
      </c>
      <c r="BI62" s="34" t="s">
        <v>93</v>
      </c>
      <c r="BK62" s="27"/>
      <c r="BL62" s="27"/>
      <c r="BM62" s="27"/>
      <c r="BN62" s="27"/>
      <c r="BO62" s="27"/>
      <c r="BP62" s="27"/>
    </row>
    <row r="63" spans="32:82">
      <c r="AF63" s="24"/>
      <c r="AG63" s="24" t="s">
        <v>242</v>
      </c>
      <c r="AH63" s="36"/>
      <c r="AI63" s="30"/>
      <c r="AK63" s="27"/>
      <c r="AL63" s="27"/>
      <c r="AM63" s="27"/>
      <c r="AN63" s="27"/>
      <c r="AO63" s="27"/>
      <c r="AP63" s="27"/>
      <c r="AS63" s="24"/>
      <c r="AT63" s="24" t="s">
        <v>242</v>
      </c>
      <c r="AU63" s="23"/>
      <c r="AV63" s="24"/>
      <c r="AX63" s="27"/>
      <c r="AY63" s="27"/>
      <c r="AZ63" s="27"/>
      <c r="BA63" s="27"/>
      <c r="BB63" s="27"/>
      <c r="BC63" s="27"/>
      <c r="BF63" s="24"/>
      <c r="BG63" s="24" t="s">
        <v>244</v>
      </c>
      <c r="BH63" s="7">
        <f>0.12*D7</f>
        <v>1.2395104000000001</v>
      </c>
      <c r="BI63" s="34" t="s">
        <v>93</v>
      </c>
      <c r="BK63" s="27"/>
      <c r="BL63" s="27"/>
      <c r="BM63" s="27"/>
      <c r="BN63" s="27"/>
      <c r="BO63" s="27"/>
      <c r="BP63" s="27"/>
    </row>
    <row r="64" spans="32:82">
      <c r="AK64" s="27"/>
      <c r="AL64" s="27"/>
      <c r="AM64" s="27"/>
      <c r="AN64" s="27"/>
      <c r="AO64" s="27"/>
      <c r="AP64" s="27"/>
      <c r="AS64" s="24"/>
      <c r="AT64" s="24" t="s">
        <v>244</v>
      </c>
      <c r="AU64" s="23"/>
      <c r="AV64" s="24"/>
      <c r="AX64" s="27"/>
      <c r="AY64" s="27"/>
      <c r="AZ64" s="27"/>
      <c r="BA64" s="27"/>
      <c r="BB64" s="27"/>
      <c r="BC64" s="27"/>
      <c r="BK64" s="27"/>
      <c r="BL64" s="27"/>
      <c r="BM64" s="27"/>
      <c r="BN64" s="27"/>
      <c r="BO64" s="27"/>
      <c r="BP64" s="27"/>
    </row>
    <row r="65" spans="2:68">
      <c r="AK65" s="27"/>
      <c r="AL65" s="27"/>
      <c r="AM65" s="27"/>
      <c r="AN65" s="27"/>
      <c r="AO65" s="27"/>
      <c r="AP65" s="27"/>
      <c r="AX65" s="27"/>
      <c r="AY65" s="27"/>
      <c r="AZ65" s="27"/>
      <c r="BA65" s="27"/>
      <c r="BB65" s="27"/>
      <c r="BC65" s="27"/>
      <c r="BK65" s="27"/>
      <c r="BL65" s="27"/>
      <c r="BM65" s="27"/>
      <c r="BN65" s="27"/>
      <c r="BO65" s="27"/>
      <c r="BP65" s="27"/>
    </row>
    <row r="66" spans="2:68">
      <c r="AK66" s="27"/>
      <c r="AL66" s="27"/>
      <c r="AM66" s="27"/>
      <c r="AN66" s="27"/>
      <c r="AO66" s="27"/>
      <c r="AP66" s="27"/>
      <c r="AX66" s="27"/>
      <c r="AY66" s="27"/>
      <c r="AZ66" s="27"/>
      <c r="BA66" s="27"/>
      <c r="BB66" s="27"/>
      <c r="BC66" s="27"/>
      <c r="BK66" s="27"/>
      <c r="BL66" s="27"/>
      <c r="BM66" s="27"/>
      <c r="BN66" s="27"/>
      <c r="BO66" s="27"/>
      <c r="BP66" s="27"/>
    </row>
    <row r="67" spans="2:68">
      <c r="AK67" s="27"/>
      <c r="AL67" s="27"/>
      <c r="AM67" s="27"/>
      <c r="AN67" s="27"/>
      <c r="AO67" s="27"/>
      <c r="AP67" s="27"/>
      <c r="AX67" s="27"/>
      <c r="AY67" s="27"/>
      <c r="AZ67" s="27"/>
      <c r="BA67" s="27"/>
      <c r="BB67" s="27"/>
      <c r="BC67" s="27"/>
      <c r="BK67" s="27"/>
      <c r="BL67" s="27"/>
      <c r="BM67" s="27"/>
      <c r="BN67" s="27"/>
      <c r="BO67" s="27"/>
      <c r="BP67" s="27"/>
    </row>
    <row r="68" spans="2:68">
      <c r="AK68" s="27"/>
      <c r="AL68" s="27"/>
      <c r="AM68" s="27"/>
      <c r="AN68" s="27"/>
      <c r="AO68" s="27"/>
      <c r="AP68" s="27"/>
      <c r="AX68" s="27"/>
      <c r="AY68" s="27"/>
      <c r="AZ68" s="27"/>
      <c r="BA68" s="27"/>
      <c r="BB68" s="27"/>
      <c r="BC68" s="27"/>
      <c r="BK68" s="27"/>
      <c r="BL68" s="27"/>
      <c r="BM68" s="27"/>
      <c r="BN68" s="27"/>
      <c r="BO68" s="27"/>
      <c r="BP68" s="27"/>
    </row>
    <row r="69" spans="2:68">
      <c r="AK69" s="27"/>
      <c r="AL69" s="27"/>
      <c r="AM69" s="27"/>
      <c r="AN69" s="27"/>
      <c r="AO69" s="27"/>
      <c r="AP69" s="27"/>
      <c r="AX69" s="27"/>
      <c r="AY69" s="27"/>
      <c r="AZ69" s="27"/>
      <c r="BA69" s="27"/>
      <c r="BB69" s="27"/>
      <c r="BC69" s="27"/>
      <c r="BK69" s="27"/>
      <c r="BL69" s="27"/>
      <c r="BM69" s="27"/>
      <c r="BN69" s="27"/>
      <c r="BO69" s="27"/>
      <c r="BP69" s="27"/>
    </row>
    <row r="70" spans="2:68">
      <c r="AK70" s="27"/>
      <c r="AL70" s="27"/>
      <c r="AM70" s="27"/>
      <c r="AN70" s="27"/>
      <c r="AO70" s="27"/>
      <c r="AP70" s="27"/>
      <c r="AX70" s="27"/>
      <c r="AY70" s="27"/>
      <c r="AZ70" s="27"/>
      <c r="BA70" s="27"/>
      <c r="BB70" s="27"/>
      <c r="BC70" s="27"/>
      <c r="BK70" s="27"/>
      <c r="BL70" s="27"/>
      <c r="BM70" s="27"/>
      <c r="BN70" s="27"/>
      <c r="BO70" s="27"/>
      <c r="BP70" s="27"/>
    </row>
    <row r="71" spans="2:68">
      <c r="AK71" s="27"/>
      <c r="AL71" s="27"/>
      <c r="AM71" s="27"/>
      <c r="AN71" s="27"/>
      <c r="AO71" s="27"/>
      <c r="AP71" s="27"/>
      <c r="AX71" s="27"/>
      <c r="AY71" s="27"/>
      <c r="AZ71" s="27"/>
      <c r="BA71" s="27"/>
      <c r="BB71" s="27"/>
      <c r="BC71" s="27"/>
      <c r="BK71" s="27"/>
      <c r="BL71" s="27"/>
      <c r="BM71" s="27"/>
      <c r="BN71" s="27"/>
      <c r="BO71" s="27"/>
      <c r="BP71" s="27"/>
    </row>
    <row r="72" spans="2:68">
      <c r="AK72" s="27"/>
      <c r="AL72" s="27"/>
      <c r="AM72" s="27"/>
      <c r="AN72" s="27"/>
      <c r="AO72" s="27"/>
      <c r="AP72" s="27"/>
      <c r="AX72" s="27"/>
      <c r="AY72" s="27"/>
      <c r="AZ72" s="27"/>
      <c r="BA72" s="27"/>
      <c r="BB72" s="27"/>
      <c r="BC72" s="27"/>
      <c r="BK72" s="27"/>
      <c r="BL72" s="27"/>
      <c r="BM72" s="27"/>
      <c r="BN72" s="27"/>
      <c r="BO72" s="27"/>
      <c r="BP72" s="27"/>
    </row>
    <row r="73" spans="2:68">
      <c r="AK73" s="27"/>
      <c r="AL73" s="27"/>
      <c r="AM73" s="27"/>
      <c r="AN73" s="27"/>
      <c r="AO73" s="27"/>
      <c r="AP73" s="27"/>
      <c r="AX73" s="27"/>
      <c r="AY73" s="27"/>
      <c r="AZ73" s="27"/>
      <c r="BA73" s="27"/>
      <c r="BB73" s="27"/>
      <c r="BC73" s="27"/>
      <c r="BK73" s="27"/>
      <c r="BL73" s="27"/>
      <c r="BM73" s="27"/>
      <c r="BN73" s="27"/>
      <c r="BO73" s="27"/>
      <c r="BP73" s="27"/>
    </row>
    <row r="74" spans="2:68">
      <c r="AK74" s="27"/>
      <c r="AL74" s="27"/>
      <c r="AM74" s="27"/>
      <c r="AN74" s="27"/>
      <c r="AO74" s="27"/>
      <c r="AP74" s="27"/>
      <c r="AX74" s="27"/>
      <c r="AY74" s="27"/>
      <c r="AZ74" s="27"/>
      <c r="BA74" s="27"/>
      <c r="BB74" s="27"/>
      <c r="BC74" s="27"/>
      <c r="BK74" s="27"/>
      <c r="BL74" s="27"/>
      <c r="BM74" s="27"/>
      <c r="BN74" s="27"/>
      <c r="BO74" s="27"/>
      <c r="BP74" s="27"/>
    </row>
    <row r="75" spans="2:68">
      <c r="AK75" s="27"/>
      <c r="AL75" s="27"/>
      <c r="AM75" s="27"/>
      <c r="AN75" s="27"/>
      <c r="AO75" s="27"/>
      <c r="AP75" s="27"/>
      <c r="AX75" s="27"/>
      <c r="AY75" s="27"/>
      <c r="AZ75" s="27"/>
      <c r="BA75" s="27"/>
      <c r="BB75" s="27"/>
      <c r="BC75" s="27"/>
      <c r="BK75" s="27"/>
      <c r="BL75" s="27"/>
      <c r="BM75" s="27"/>
      <c r="BN75" s="27"/>
      <c r="BO75" s="27"/>
      <c r="BP75" s="27"/>
    </row>
    <row r="76" spans="2:68">
      <c r="B76" s="24"/>
      <c r="C76" s="24" t="s">
        <v>278</v>
      </c>
      <c r="D76" s="36">
        <f>'Раздел (1-11)'!D234</f>
        <v>0.625</v>
      </c>
      <c r="E76" s="30"/>
      <c r="AK76" s="27"/>
      <c r="AL76" s="27"/>
      <c r="AM76" s="27"/>
      <c r="AN76" s="27"/>
      <c r="AO76" s="27"/>
      <c r="AP76" s="27"/>
      <c r="AX76" s="27"/>
      <c r="AY76" s="27"/>
      <c r="AZ76" s="27"/>
      <c r="BA76" s="27"/>
      <c r="BB76" s="27"/>
      <c r="BC76" s="27"/>
      <c r="BK76" s="27"/>
      <c r="BL76" s="27"/>
      <c r="BM76" s="27"/>
      <c r="BN76" s="27"/>
      <c r="BO76" s="27"/>
      <c r="BP76" s="27"/>
    </row>
    <row r="77" spans="2:68">
      <c r="B77" s="24"/>
      <c r="C77" s="24" t="s">
        <v>273</v>
      </c>
      <c r="D77" s="36"/>
      <c r="E77" s="30"/>
      <c r="AK77" s="27"/>
      <c r="AL77" s="27"/>
      <c r="AM77" s="27"/>
      <c r="AN77" s="27"/>
      <c r="AO77" s="27"/>
      <c r="AP77" s="27"/>
      <c r="AX77" s="27"/>
      <c r="AY77" s="27"/>
      <c r="AZ77" s="27"/>
      <c r="BA77" s="27"/>
      <c r="BB77" s="27"/>
      <c r="BC77" s="27"/>
      <c r="BK77" s="27"/>
      <c r="BL77" s="27"/>
      <c r="BM77" s="27"/>
      <c r="BN77" s="27"/>
      <c r="BO77" s="27"/>
      <c r="BP77" s="27"/>
    </row>
    <row r="78" spans="2:68">
      <c r="B78" s="24"/>
      <c r="C78" s="24" t="s">
        <v>273</v>
      </c>
      <c r="D78" s="36"/>
      <c r="E78" s="30"/>
    </row>
    <row r="79" spans="2:68">
      <c r="B79" s="24"/>
      <c r="C79" s="24" t="s">
        <v>274</v>
      </c>
      <c r="D79" s="36"/>
      <c r="E79" s="30"/>
    </row>
    <row r="80" spans="2:68">
      <c r="B80" s="24"/>
      <c r="C80" s="24" t="s">
        <v>275</v>
      </c>
      <c r="D80" s="36"/>
      <c r="E80" s="30"/>
    </row>
    <row r="81" spans="2:5">
      <c r="B81" s="24"/>
      <c r="C81" s="24" t="s">
        <v>276</v>
      </c>
      <c r="D81" s="36"/>
      <c r="E81" s="30"/>
    </row>
    <row r="82" spans="2:5">
      <c r="B82" s="24"/>
      <c r="C82" s="24" t="s">
        <v>277</v>
      </c>
      <c r="D82" s="36">
        <f>(BH62/(3*BH58))*(D76)+(BH61/BH58+3*BH60/(BH58+2*BH59)+BH63/BH59)*D76</f>
        <v>1.3057728920396303</v>
      </c>
      <c r="E82" s="30"/>
    </row>
    <row r="83" spans="2:5">
      <c r="C83" s="29"/>
      <c r="D83" s="39"/>
    </row>
    <row r="110" spans="3:5">
      <c r="C110" s="24" t="s">
        <v>259</v>
      </c>
      <c r="D110" s="36"/>
      <c r="E110" s="30"/>
    </row>
    <row r="111" spans="3:5">
      <c r="C111" s="45" t="s">
        <v>260</v>
      </c>
      <c r="D111" s="46">
        <f>'Раздел (1-11)'!D147</f>
        <v>6.5459933305095648</v>
      </c>
      <c r="E111" s="30"/>
    </row>
    <row r="112" spans="3:5">
      <c r="C112" s="45" t="s">
        <v>261</v>
      </c>
      <c r="D112" s="46">
        <f>'Раздел (1-11)'!D149</f>
        <v>4.4512754647465043</v>
      </c>
      <c r="E112" s="30"/>
    </row>
    <row r="113" spans="3:68">
      <c r="C113" s="45" t="s">
        <v>262</v>
      </c>
      <c r="D113" s="46">
        <f>'Раздел (1-11)'!D141</f>
        <v>1.5</v>
      </c>
      <c r="E113" s="30"/>
    </row>
    <row r="114" spans="3:68">
      <c r="C114" s="45" t="s">
        <v>263</v>
      </c>
      <c r="D114" s="46">
        <f>'Раздел (1-11)'!D150</f>
        <v>12.675044410668201</v>
      </c>
      <c r="E114" s="30"/>
    </row>
    <row r="115" spans="3:68">
      <c r="C115" s="45" t="s">
        <v>264</v>
      </c>
      <c r="D115" s="46">
        <f>'Раздел (1-11)'!D151</f>
        <v>18.873678808296233</v>
      </c>
      <c r="E115" s="30"/>
    </row>
    <row r="116" spans="3:68">
      <c r="C116" s="45" t="s">
        <v>265</v>
      </c>
      <c r="D116" s="46">
        <f>'Раздел (1-11)'!D142</f>
        <v>0.7</v>
      </c>
      <c r="E116" s="30"/>
      <c r="AK116" s="27"/>
      <c r="AL116" s="27"/>
      <c r="AM116" s="27"/>
      <c r="AN116" s="27"/>
      <c r="AO116" s="27"/>
      <c r="AP116" s="27"/>
      <c r="AX116" s="27"/>
      <c r="AY116" s="27"/>
      <c r="AZ116" s="27"/>
      <c r="BA116" s="27"/>
      <c r="BB116" s="27"/>
      <c r="BC116" s="27"/>
      <c r="BK116" s="27"/>
      <c r="BL116" s="27"/>
      <c r="BM116" s="27"/>
      <c r="BN116" s="27"/>
      <c r="BO116" s="27"/>
      <c r="BP116" s="27"/>
    </row>
    <row r="117" spans="3:68">
      <c r="AK117" s="27"/>
      <c r="AL117" s="27"/>
      <c r="AM117" s="27"/>
      <c r="AN117" s="27"/>
      <c r="AO117" s="27"/>
      <c r="AP117" s="27"/>
      <c r="AX117" s="27"/>
      <c r="AY117" s="27"/>
      <c r="AZ117" s="27"/>
      <c r="BA117" s="27"/>
      <c r="BB117" s="27"/>
      <c r="BC117" s="27"/>
      <c r="BK117" s="27"/>
      <c r="BL117" s="27"/>
      <c r="BM117" s="27"/>
      <c r="BN117" s="27"/>
      <c r="BO117" s="27"/>
      <c r="BP117" s="27"/>
    </row>
    <row r="118" spans="3:68">
      <c r="AF118" s="24"/>
      <c r="AG118" s="24" t="s">
        <v>272</v>
      </c>
      <c r="AH118" s="36">
        <f>D112</f>
        <v>4.4512754647465043</v>
      </c>
      <c r="AI118" s="30" t="s">
        <v>93</v>
      </c>
      <c r="AK118" s="27"/>
      <c r="AL118" s="27"/>
      <c r="AM118" s="27"/>
      <c r="AN118" s="27"/>
      <c r="AO118" s="27"/>
      <c r="AP118" s="27"/>
      <c r="AS118" s="24"/>
      <c r="AT118" s="24" t="s">
        <v>279</v>
      </c>
      <c r="AU118" s="23"/>
      <c r="AV118" s="24"/>
      <c r="AX118" s="27"/>
      <c r="AY118" s="27"/>
      <c r="AZ118" s="27"/>
      <c r="BA118" s="27"/>
      <c r="BB118" s="27"/>
      <c r="BC118" s="27"/>
      <c r="BF118" s="24"/>
      <c r="BG118" s="24" t="s">
        <v>279</v>
      </c>
      <c r="BH118" s="7"/>
      <c r="BI118" s="34"/>
      <c r="BK118" s="27"/>
      <c r="BL118" s="27"/>
      <c r="BM118" s="27"/>
      <c r="BN118" s="27"/>
      <c r="BO118" s="27"/>
      <c r="BP118" s="27"/>
    </row>
    <row r="119" spans="3:68">
      <c r="AF119" s="24"/>
      <c r="AG119" s="24" t="s">
        <v>245</v>
      </c>
      <c r="AH119" s="36">
        <f>D111</f>
        <v>6.5459933305095648</v>
      </c>
      <c r="AI119" s="30" t="s">
        <v>93</v>
      </c>
      <c r="AK119" s="27"/>
      <c r="AL119" s="27"/>
      <c r="AM119" s="27"/>
      <c r="AN119" s="27"/>
      <c r="AO119" s="27"/>
      <c r="AP119" s="27"/>
      <c r="AS119" s="24"/>
      <c r="AT119" s="24" t="s">
        <v>279</v>
      </c>
      <c r="AU119" s="23"/>
      <c r="AV119" s="24"/>
      <c r="AX119" s="27"/>
      <c r="AY119" s="27"/>
      <c r="AZ119" s="27"/>
      <c r="BA119" s="27"/>
      <c r="BB119" s="27"/>
      <c r="BC119" s="27"/>
      <c r="BF119" s="24"/>
      <c r="BG119" s="24" t="s">
        <v>279</v>
      </c>
      <c r="BH119" s="7"/>
      <c r="BI119" s="34"/>
      <c r="BK119" s="27"/>
      <c r="BL119" s="27"/>
      <c r="BM119" s="27"/>
      <c r="BN119" s="27"/>
      <c r="BO119" s="27"/>
      <c r="BP119" s="27"/>
    </row>
    <row r="120" spans="3:68">
      <c r="AF120" s="24"/>
      <c r="AG120" s="24" t="s">
        <v>246</v>
      </c>
      <c r="AH120" s="36">
        <f>D113</f>
        <v>1.5</v>
      </c>
      <c r="AI120" s="30" t="s">
        <v>93</v>
      </c>
      <c r="AK120" s="27"/>
      <c r="AL120" s="27"/>
      <c r="AM120" s="27"/>
      <c r="AN120" s="27"/>
      <c r="AO120" s="27"/>
      <c r="AP120" s="27"/>
      <c r="AS120" s="24"/>
      <c r="AT120" s="24" t="s">
        <v>279</v>
      </c>
      <c r="AU120" s="23"/>
      <c r="AV120" s="24"/>
      <c r="AX120" s="27"/>
      <c r="AY120" s="27"/>
      <c r="AZ120" s="27"/>
      <c r="BA120" s="27"/>
      <c r="BB120" s="27"/>
      <c r="BC120" s="27"/>
      <c r="BF120" s="24"/>
      <c r="BG120" s="24" t="s">
        <v>279</v>
      </c>
      <c r="BH120" s="7"/>
      <c r="BI120" s="34"/>
      <c r="BK120" s="27"/>
      <c r="BL120" s="27"/>
      <c r="BM120" s="27"/>
      <c r="BN120" s="27"/>
      <c r="BO120" s="27"/>
      <c r="BP120" s="27"/>
    </row>
    <row r="121" spans="3:68">
      <c r="AF121" s="24"/>
      <c r="AG121" s="24" t="s">
        <v>96</v>
      </c>
      <c r="AH121" s="36">
        <f>D114</f>
        <v>12.675044410668201</v>
      </c>
      <c r="AI121" s="30" t="s">
        <v>93</v>
      </c>
      <c r="AK121" s="27"/>
      <c r="AL121" s="27"/>
      <c r="AM121" s="27"/>
      <c r="AN121" s="27"/>
      <c r="AO121" s="27"/>
      <c r="AP121" s="27"/>
      <c r="AS121" s="24"/>
      <c r="AT121" s="24" t="s">
        <v>279</v>
      </c>
      <c r="AU121" s="23"/>
      <c r="AV121" s="24"/>
      <c r="AX121" s="27"/>
      <c r="AY121" s="27"/>
      <c r="AZ121" s="27"/>
      <c r="BA121" s="27"/>
      <c r="BB121" s="27"/>
      <c r="BC121" s="27"/>
      <c r="BF121" s="24"/>
      <c r="BG121" s="24" t="s">
        <v>279</v>
      </c>
      <c r="BH121" s="7"/>
      <c r="BI121" s="34"/>
      <c r="BK121" s="27"/>
      <c r="BL121" s="27"/>
      <c r="BM121" s="27"/>
      <c r="BN121" s="27"/>
      <c r="BO121" s="27"/>
      <c r="BP121" s="27"/>
    </row>
    <row r="122" spans="3:68">
      <c r="AF122" s="24"/>
      <c r="AG122" s="24" t="s">
        <v>244</v>
      </c>
      <c r="AH122" s="36">
        <f>D116</f>
        <v>0.7</v>
      </c>
      <c r="AI122" s="30" t="s">
        <v>93</v>
      </c>
      <c r="AK122" s="27"/>
      <c r="AL122" s="27"/>
      <c r="AM122" s="27"/>
      <c r="AN122" s="27"/>
      <c r="AO122" s="27"/>
      <c r="AP122" s="27"/>
      <c r="AX122" s="27"/>
      <c r="AY122" s="27"/>
      <c r="AZ122" s="27"/>
      <c r="BA122" s="27"/>
      <c r="BB122" s="27"/>
      <c r="BC122" s="27"/>
      <c r="BK122" s="27"/>
      <c r="BL122" s="27"/>
      <c r="BM122" s="27"/>
      <c r="BN122" s="27"/>
      <c r="BO122" s="27"/>
      <c r="BP122" s="27"/>
    </row>
    <row r="123" spans="3:68">
      <c r="AK123" s="27"/>
      <c r="AL123" s="27"/>
      <c r="AM123" s="27"/>
      <c r="AN123" s="27"/>
      <c r="AO123" s="27"/>
      <c r="AP123" s="27"/>
      <c r="AX123" s="27"/>
      <c r="AY123" s="27"/>
      <c r="AZ123" s="27"/>
      <c r="BA123" s="27"/>
      <c r="BB123" s="27"/>
      <c r="BC123" s="27"/>
      <c r="BK123" s="27"/>
      <c r="BL123" s="27"/>
      <c r="BM123" s="27"/>
      <c r="BN123" s="27"/>
      <c r="BO123" s="27"/>
      <c r="BP123" s="27"/>
    </row>
    <row r="124" spans="3:68">
      <c r="AK124" s="27"/>
      <c r="AL124" s="27"/>
      <c r="AM124" s="27"/>
      <c r="AN124" s="27"/>
      <c r="AO124" s="27"/>
      <c r="AP124" s="27"/>
      <c r="AX124" s="27"/>
      <c r="AY124" s="27"/>
      <c r="AZ124" s="27"/>
      <c r="BA124" s="27"/>
      <c r="BB124" s="27"/>
      <c r="BC124" s="27"/>
      <c r="BK124" s="27"/>
      <c r="BL124" s="27"/>
      <c r="BM124" s="27"/>
      <c r="BN124" s="27"/>
      <c r="BO124" s="27"/>
      <c r="BP124" s="27"/>
    </row>
    <row r="125" spans="3:68">
      <c r="AK125" s="27"/>
      <c r="AL125" s="27"/>
      <c r="AM125" s="27"/>
      <c r="AN125" s="27"/>
      <c r="AO125" s="27"/>
      <c r="AP125" s="27"/>
      <c r="AX125" s="27"/>
      <c r="AY125" s="27"/>
      <c r="AZ125" s="27"/>
      <c r="BA125" s="27"/>
      <c r="BB125" s="27"/>
      <c r="BC125" s="27"/>
      <c r="BK125" s="27"/>
      <c r="BL125" s="27"/>
      <c r="BM125" s="27"/>
      <c r="BN125" s="27"/>
      <c r="BO125" s="27"/>
      <c r="BP125" s="27"/>
    </row>
    <row r="126" spans="3:68">
      <c r="AK126" s="27"/>
      <c r="AL126" s="27"/>
      <c r="AM126" s="27"/>
      <c r="AN126" s="27"/>
      <c r="AO126" s="27"/>
      <c r="AP126" s="27"/>
      <c r="AX126" s="27"/>
      <c r="AY126" s="27"/>
      <c r="AZ126" s="27"/>
      <c r="BA126" s="27"/>
      <c r="BB126" s="27"/>
      <c r="BC126" s="27"/>
      <c r="BK126" s="27"/>
      <c r="BL126" s="27"/>
      <c r="BM126" s="27"/>
      <c r="BN126" s="27"/>
      <c r="BO126" s="27"/>
      <c r="BP126" s="27"/>
    </row>
    <row r="127" spans="3:68">
      <c r="AK127" s="27"/>
      <c r="AL127" s="27"/>
      <c r="AM127" s="27"/>
      <c r="AN127" s="27"/>
      <c r="AO127" s="27"/>
      <c r="AP127" s="27"/>
      <c r="AX127" s="27"/>
      <c r="AY127" s="27"/>
      <c r="AZ127" s="27"/>
      <c r="BA127" s="27"/>
      <c r="BB127" s="27"/>
      <c r="BC127" s="27"/>
      <c r="BK127" s="27"/>
      <c r="BL127" s="27"/>
      <c r="BM127" s="27"/>
      <c r="BN127" s="27"/>
      <c r="BO127" s="27"/>
      <c r="BP127" s="27"/>
    </row>
    <row r="128" spans="3:68">
      <c r="AK128" s="27"/>
      <c r="AL128" s="27"/>
      <c r="AM128" s="27"/>
      <c r="AN128" s="27"/>
      <c r="AO128" s="27"/>
      <c r="AP128" s="27"/>
      <c r="AX128" s="27"/>
      <c r="AY128" s="27"/>
      <c r="AZ128" s="27"/>
      <c r="BA128" s="27"/>
      <c r="BB128" s="27"/>
      <c r="BC128" s="27"/>
      <c r="BK128" s="27"/>
      <c r="BL128" s="27"/>
      <c r="BM128" s="27"/>
      <c r="BN128" s="27"/>
      <c r="BO128" s="27"/>
      <c r="BP128" s="27"/>
    </row>
    <row r="129" spans="32:68">
      <c r="AK129" s="27"/>
      <c r="AL129" s="27"/>
      <c r="AM129" s="27"/>
      <c r="AN129" s="27"/>
      <c r="AO129" s="27"/>
      <c r="AP129" s="27"/>
      <c r="AX129" s="27"/>
      <c r="AY129" s="27"/>
      <c r="AZ129" s="27"/>
      <c r="BA129" s="27"/>
      <c r="BB129" s="27"/>
      <c r="BC129" s="27"/>
      <c r="BK129" s="27"/>
      <c r="BL129" s="27"/>
      <c r="BM129" s="27"/>
      <c r="BN129" s="27"/>
      <c r="BO129" s="27"/>
      <c r="BP129" s="27"/>
    </row>
    <row r="130" spans="32:68">
      <c r="AK130" s="27"/>
      <c r="AL130" s="27"/>
      <c r="AM130" s="27"/>
      <c r="AN130" s="27"/>
      <c r="AO130" s="27"/>
      <c r="AP130" s="27"/>
      <c r="AX130" s="27"/>
      <c r="AY130" s="27"/>
      <c r="AZ130" s="27"/>
      <c r="BA130" s="27"/>
      <c r="BB130" s="27"/>
      <c r="BC130" s="27"/>
      <c r="BK130" s="27"/>
      <c r="BL130" s="27"/>
      <c r="BM130" s="27"/>
      <c r="BN130" s="27"/>
      <c r="BO130" s="27"/>
      <c r="BP130" s="27"/>
    </row>
    <row r="131" spans="32:68">
      <c r="AK131" s="27"/>
      <c r="AL131" s="27"/>
      <c r="AM131" s="27"/>
      <c r="AN131" s="27"/>
      <c r="AO131" s="27"/>
      <c r="AP131" s="27"/>
      <c r="AX131" s="27"/>
      <c r="AY131" s="27"/>
      <c r="AZ131" s="27"/>
      <c r="BA131" s="27"/>
      <c r="BB131" s="27"/>
      <c r="BC131" s="27"/>
      <c r="BK131" s="27"/>
      <c r="BL131" s="27"/>
      <c r="BM131" s="27"/>
      <c r="BN131" s="27"/>
      <c r="BP131" s="27"/>
    </row>
    <row r="132" spans="32:68">
      <c r="AK132" s="27"/>
      <c r="AL132" s="27"/>
      <c r="AM132" s="27"/>
      <c r="AN132" s="27"/>
      <c r="AO132" s="27"/>
      <c r="AP132" s="27"/>
      <c r="AX132" s="27"/>
      <c r="AY132" s="27"/>
      <c r="AZ132" s="27"/>
      <c r="BA132" s="27"/>
      <c r="BB132" s="27"/>
      <c r="BC132" s="27"/>
      <c r="BK132" s="27"/>
      <c r="BL132" s="27"/>
      <c r="BM132" s="27"/>
      <c r="BN132" s="27"/>
      <c r="BO132" s="27"/>
      <c r="BP132" s="27"/>
    </row>
    <row r="133" spans="32:68">
      <c r="AK133" s="27"/>
      <c r="AL133" s="27"/>
      <c r="AM133" s="27"/>
      <c r="AN133" s="27"/>
      <c r="AO133" s="27"/>
      <c r="AP133" s="27"/>
      <c r="AX133" s="27"/>
      <c r="AY133" s="27"/>
      <c r="AZ133" s="27"/>
      <c r="BA133" s="27"/>
      <c r="BB133" s="27"/>
      <c r="BC133" s="27"/>
      <c r="BK133" s="27"/>
      <c r="BL133" s="27"/>
      <c r="BM133" s="27"/>
      <c r="BN133" s="27"/>
      <c r="BO133" s="27"/>
      <c r="BP133" s="27"/>
    </row>
    <row r="134" spans="32:68">
      <c r="AK134" s="27"/>
      <c r="AL134" s="27"/>
      <c r="AM134" s="27"/>
      <c r="AN134" s="27"/>
      <c r="AO134" s="27"/>
      <c r="AP134" s="27"/>
      <c r="AX134" s="27"/>
      <c r="AY134" s="27"/>
      <c r="AZ134" s="27"/>
      <c r="BA134" s="27"/>
      <c r="BB134" s="27"/>
      <c r="BC134" s="27"/>
      <c r="BK134" s="27"/>
      <c r="BL134" s="27"/>
      <c r="BM134" s="27"/>
      <c r="BN134" s="27"/>
      <c r="BO134" s="27"/>
      <c r="BP134" s="27"/>
    </row>
    <row r="135" spans="32:68">
      <c r="AK135" s="27"/>
      <c r="AL135" s="27"/>
      <c r="AM135" s="27"/>
      <c r="AN135" s="27"/>
      <c r="AO135" s="27"/>
      <c r="AP135" s="27"/>
      <c r="AX135" s="27"/>
      <c r="AY135" s="27"/>
      <c r="AZ135" s="27"/>
      <c r="BA135" s="27"/>
      <c r="BB135" s="27"/>
      <c r="BC135" s="27"/>
      <c r="BK135" s="27"/>
      <c r="BL135" s="27"/>
      <c r="BM135" s="27"/>
      <c r="BN135" s="27"/>
      <c r="BO135" s="27"/>
      <c r="BP135" s="27"/>
    </row>
    <row r="136" spans="32:68">
      <c r="AK136" s="27"/>
      <c r="AL136" s="27"/>
      <c r="AM136" s="27"/>
      <c r="AN136" s="27"/>
      <c r="AO136" s="27"/>
      <c r="AP136" s="27"/>
      <c r="AX136" s="27"/>
      <c r="AY136" s="27"/>
      <c r="AZ136" s="27"/>
      <c r="BA136" s="27"/>
      <c r="BB136" s="27"/>
      <c r="BC136" s="27"/>
      <c r="BK136" s="27"/>
      <c r="BL136" s="27"/>
      <c r="BM136" s="27"/>
      <c r="BN136" s="27"/>
      <c r="BO136" s="27"/>
      <c r="BP136" s="27"/>
    </row>
    <row r="137" spans="32:68">
      <c r="AK137" s="27"/>
      <c r="AL137" s="27"/>
      <c r="AM137" s="27"/>
      <c r="AN137" s="27"/>
      <c r="AO137" s="27"/>
      <c r="AP137" s="27"/>
      <c r="AX137" s="27"/>
      <c r="AY137" s="27"/>
      <c r="AZ137" s="27"/>
      <c r="BA137" s="27"/>
      <c r="BB137" s="27"/>
      <c r="BC137" s="27"/>
      <c r="BK137" s="27"/>
      <c r="BL137" s="27"/>
      <c r="BM137" s="27"/>
      <c r="BN137" s="27"/>
      <c r="BO137" s="27"/>
      <c r="BP137" s="27"/>
    </row>
    <row r="141" spans="32:68">
      <c r="AK141" s="27"/>
      <c r="AL141" s="27"/>
      <c r="AM141" s="27"/>
      <c r="AN141" s="27"/>
      <c r="AO141" s="27"/>
      <c r="AP141" s="27"/>
      <c r="AX141" s="27"/>
      <c r="AY141" s="27"/>
      <c r="AZ141" s="27"/>
      <c r="BA141" s="27"/>
      <c r="BB141" s="27"/>
      <c r="BC141" s="27"/>
      <c r="BK141" s="27"/>
      <c r="BL141" s="27"/>
      <c r="BM141" s="27"/>
      <c r="BN141" s="27"/>
      <c r="BO141" s="27"/>
      <c r="BP141" s="27"/>
    </row>
    <row r="142" spans="32:68">
      <c r="AK142" s="27"/>
      <c r="AL142" s="27"/>
      <c r="AM142" s="27"/>
      <c r="AN142" s="27"/>
      <c r="AO142" s="27"/>
      <c r="AP142" s="27"/>
      <c r="AX142" s="27"/>
      <c r="AY142" s="27"/>
      <c r="AZ142" s="27"/>
      <c r="BA142" s="27"/>
      <c r="BB142" s="27"/>
      <c r="BC142" s="27"/>
      <c r="BK142" s="27"/>
      <c r="BL142" s="27"/>
      <c r="BM142" s="27"/>
      <c r="BN142" s="27"/>
      <c r="BO142" s="27"/>
      <c r="BP142" s="27"/>
    </row>
    <row r="143" spans="32:68">
      <c r="AF143" s="24"/>
      <c r="AG143" s="24" t="s">
        <v>279</v>
      </c>
      <c r="AH143" s="36"/>
      <c r="AI143" s="30"/>
      <c r="AK143" s="27"/>
      <c r="AL143" s="27"/>
      <c r="AM143" s="27"/>
      <c r="AN143" s="27"/>
      <c r="AO143" s="27"/>
      <c r="AP143" s="27"/>
      <c r="AS143" s="24"/>
      <c r="AT143" s="24" t="s">
        <v>279</v>
      </c>
      <c r="AU143" s="23"/>
      <c r="AV143" s="24"/>
      <c r="AX143" s="27"/>
      <c r="AY143" s="27"/>
      <c r="AZ143" s="27"/>
      <c r="BA143" s="27"/>
      <c r="BB143" s="27"/>
      <c r="BC143" s="27"/>
      <c r="BF143" s="24"/>
      <c r="BG143" s="24" t="s">
        <v>279</v>
      </c>
      <c r="BH143" s="7"/>
      <c r="BI143" s="34"/>
      <c r="BK143" s="27"/>
      <c r="BL143" s="27"/>
      <c r="BM143" s="27"/>
      <c r="BN143" s="27"/>
      <c r="BO143" s="27"/>
      <c r="BP143" s="27"/>
    </row>
    <row r="144" spans="32:68">
      <c r="AF144" s="24"/>
      <c r="AG144" s="24" t="s">
        <v>279</v>
      </c>
      <c r="AH144" s="36"/>
      <c r="AI144" s="30"/>
      <c r="AK144" s="27"/>
      <c r="AL144" s="27"/>
      <c r="AM144" s="27"/>
      <c r="AN144" s="27"/>
      <c r="AO144" s="27"/>
      <c r="AP144" s="27"/>
      <c r="AS144" s="24"/>
      <c r="AT144" s="24" t="s">
        <v>279</v>
      </c>
      <c r="AU144" s="23"/>
      <c r="AV144" s="24"/>
      <c r="AX144" s="27"/>
      <c r="AY144" s="27"/>
      <c r="AZ144" s="27"/>
      <c r="BA144" s="27"/>
      <c r="BB144" s="27"/>
      <c r="BC144" s="27"/>
      <c r="BF144" s="24"/>
      <c r="BG144" s="24" t="s">
        <v>279</v>
      </c>
      <c r="BH144" s="7"/>
      <c r="BI144" s="34"/>
      <c r="BK144" s="27"/>
      <c r="BL144" s="27"/>
      <c r="BM144" s="27"/>
      <c r="BN144" s="27"/>
      <c r="BO144" s="27"/>
      <c r="BP144" s="27"/>
    </row>
    <row r="145" spans="32:68">
      <c r="AF145" s="24"/>
      <c r="AG145" s="24" t="s">
        <v>279</v>
      </c>
      <c r="AH145" s="36"/>
      <c r="AI145" s="30"/>
      <c r="AK145" s="27"/>
      <c r="AL145" s="27"/>
      <c r="AM145" s="27"/>
      <c r="AN145" s="27"/>
      <c r="AO145" s="27"/>
      <c r="AP145" s="27"/>
      <c r="AS145" s="24"/>
      <c r="AT145" s="24" t="s">
        <v>279</v>
      </c>
      <c r="AU145" s="23"/>
      <c r="AV145" s="24"/>
      <c r="AX145" s="27"/>
      <c r="AY145" s="27"/>
      <c r="AZ145" s="27"/>
      <c r="BA145" s="27"/>
      <c r="BB145" s="27"/>
      <c r="BC145" s="27"/>
      <c r="BF145" s="24"/>
      <c r="BG145" s="24" t="s">
        <v>279</v>
      </c>
      <c r="BH145" s="7"/>
      <c r="BI145" s="34"/>
      <c r="BK145" s="27"/>
      <c r="BL145" s="27"/>
      <c r="BM145" s="27"/>
      <c r="BN145" s="27"/>
      <c r="BO145" s="27"/>
      <c r="BP145" s="27"/>
    </row>
    <row r="146" spans="32:68">
      <c r="AF146" s="24"/>
      <c r="AG146" s="24" t="s">
        <v>279</v>
      </c>
      <c r="AH146" s="36"/>
      <c r="AI146" s="30"/>
      <c r="AK146" s="27"/>
      <c r="AL146" s="27"/>
      <c r="AM146" s="27"/>
      <c r="AN146" s="27"/>
      <c r="AO146" s="27"/>
      <c r="AP146" s="27"/>
      <c r="AS146" s="24"/>
      <c r="AT146" s="24" t="s">
        <v>279</v>
      </c>
      <c r="AU146" s="23"/>
      <c r="AV146" s="24"/>
      <c r="AX146" s="27"/>
      <c r="AY146" s="27"/>
      <c r="AZ146" s="27"/>
      <c r="BA146" s="27"/>
      <c r="BB146" s="27"/>
      <c r="BC146" s="27"/>
      <c r="BF146" s="24"/>
      <c r="BG146" s="24" t="s">
        <v>279</v>
      </c>
      <c r="BH146" s="7"/>
      <c r="BI146" s="34"/>
      <c r="BK146" s="27"/>
      <c r="BL146" s="27"/>
      <c r="BM146" s="27"/>
      <c r="BN146" s="27"/>
      <c r="BO146" s="27"/>
      <c r="BP146" s="27"/>
    </row>
    <row r="147" spans="32:68">
      <c r="AK147" s="27"/>
      <c r="AL147" s="27"/>
      <c r="AM147" s="27"/>
      <c r="AN147" s="27"/>
      <c r="AO147" s="27"/>
      <c r="AP147" s="27"/>
      <c r="AX147" s="27"/>
      <c r="AY147" s="27"/>
      <c r="AZ147" s="27"/>
      <c r="BA147" s="27"/>
      <c r="BB147" s="27"/>
      <c r="BC147" s="27"/>
      <c r="BK147" s="27"/>
      <c r="BL147" s="27"/>
      <c r="BM147" s="27"/>
      <c r="BN147" s="27"/>
      <c r="BO147" s="27"/>
      <c r="BP147" s="27"/>
    </row>
    <row r="148" spans="32:68">
      <c r="AK148" s="27"/>
      <c r="AL148" s="27"/>
      <c r="AM148" s="27"/>
      <c r="AN148" s="27"/>
      <c r="AO148" s="27"/>
      <c r="AP148" s="27"/>
      <c r="AX148" s="27"/>
      <c r="AY148" s="27"/>
      <c r="AZ148" s="27"/>
      <c r="BA148" s="27"/>
      <c r="BB148" s="27"/>
      <c r="BC148" s="27"/>
      <c r="BK148" s="27"/>
      <c r="BL148" s="27"/>
      <c r="BM148" s="27"/>
      <c r="BN148" s="27"/>
      <c r="BO148" s="27"/>
      <c r="BP148" s="27"/>
    </row>
    <row r="149" spans="32:68">
      <c r="AK149" s="27"/>
      <c r="AL149" s="27"/>
      <c r="AM149" s="27"/>
      <c r="AN149" s="27"/>
      <c r="AO149" s="27"/>
      <c r="AP149" s="27"/>
      <c r="AX149" s="27"/>
      <c r="AY149" s="27"/>
      <c r="AZ149" s="27"/>
      <c r="BA149" s="27"/>
      <c r="BB149" s="27"/>
      <c r="BC149" s="27"/>
      <c r="BK149" s="27"/>
      <c r="BL149" s="27"/>
      <c r="BM149" s="27"/>
      <c r="BN149" s="27"/>
      <c r="BO149" s="27"/>
      <c r="BP149" s="27"/>
    </row>
    <row r="150" spans="32:68">
      <c r="AK150" s="27"/>
      <c r="AL150" s="27"/>
      <c r="AM150" s="27"/>
      <c r="AN150" s="27"/>
      <c r="AO150" s="27"/>
      <c r="AP150" s="27"/>
      <c r="AX150" s="27"/>
      <c r="AY150" s="27"/>
      <c r="AZ150" s="27"/>
      <c r="BA150" s="27"/>
      <c r="BB150" s="27"/>
      <c r="BC150" s="27"/>
      <c r="BK150" s="27"/>
      <c r="BL150" s="27"/>
      <c r="BM150" s="27"/>
      <c r="BN150" s="27"/>
      <c r="BO150" s="27"/>
      <c r="BP150" s="27"/>
    </row>
    <row r="151" spans="32:68">
      <c r="AK151" s="27"/>
      <c r="AL151" s="27"/>
      <c r="AM151" s="27"/>
      <c r="AN151" s="27"/>
      <c r="AO151" s="27"/>
      <c r="AP151" s="27"/>
      <c r="AX151" s="27"/>
      <c r="AY151" s="27"/>
      <c r="AZ151" s="27"/>
      <c r="BA151" s="27"/>
      <c r="BB151" s="27"/>
      <c r="BC151" s="27"/>
      <c r="BK151" s="27"/>
      <c r="BL151" s="27"/>
      <c r="BM151" s="27"/>
      <c r="BN151" s="27"/>
      <c r="BO151" s="27"/>
      <c r="BP151" s="27"/>
    </row>
    <row r="152" spans="32:68">
      <c r="AK152" s="27"/>
      <c r="AL152" s="27"/>
      <c r="AM152" s="27"/>
      <c r="AN152" s="27"/>
      <c r="AO152" s="27"/>
      <c r="AP152" s="27"/>
      <c r="AX152" s="27"/>
      <c r="AY152" s="27"/>
      <c r="AZ152" s="27"/>
      <c r="BA152" s="27"/>
      <c r="BB152" s="27"/>
      <c r="BC152" s="27"/>
      <c r="BK152" s="27"/>
      <c r="BL152" s="27"/>
      <c r="BM152" s="27"/>
      <c r="BN152" s="27"/>
      <c r="BO152" s="27"/>
      <c r="BP152" s="27"/>
    </row>
    <row r="153" spans="32:68">
      <c r="AK153" s="27"/>
      <c r="AL153" s="27"/>
      <c r="AM153" s="27"/>
      <c r="AN153" s="27"/>
      <c r="AO153" s="27"/>
      <c r="AP153" s="27"/>
      <c r="AX153" s="27"/>
      <c r="AY153" s="27"/>
      <c r="AZ153" s="27"/>
      <c r="BA153" s="27"/>
      <c r="BB153" s="27"/>
      <c r="BC153" s="27"/>
      <c r="BK153" s="27"/>
      <c r="BL153" s="27"/>
      <c r="BM153" s="27"/>
      <c r="BN153" s="27"/>
      <c r="BO153" s="27"/>
      <c r="BP153" s="27"/>
    </row>
    <row r="154" spans="32:68">
      <c r="AK154" s="27"/>
      <c r="AL154" s="27"/>
      <c r="AM154" s="27"/>
      <c r="AN154" s="27"/>
      <c r="AO154" s="27"/>
      <c r="AP154" s="27"/>
      <c r="AX154" s="27"/>
      <c r="AY154" s="27"/>
      <c r="AZ154" s="27"/>
      <c r="BA154" s="27"/>
      <c r="BB154" s="27"/>
      <c r="BC154" s="27"/>
      <c r="BK154" s="27"/>
      <c r="BL154" s="27"/>
      <c r="BM154" s="27"/>
      <c r="BN154" s="27"/>
      <c r="BO154" s="27"/>
      <c r="BP154" s="27"/>
    </row>
    <row r="155" spans="32:68">
      <c r="AK155" s="27"/>
      <c r="AL155" s="27"/>
      <c r="AM155" s="27"/>
      <c r="AN155" s="27"/>
      <c r="AO155" s="27"/>
      <c r="AP155" s="27"/>
      <c r="AX155" s="27"/>
      <c r="AY155" s="27"/>
      <c r="AZ155" s="27"/>
      <c r="BA155" s="27"/>
      <c r="BB155" s="27"/>
      <c r="BC155" s="27"/>
      <c r="BK155" s="27"/>
      <c r="BL155" s="27"/>
      <c r="BM155" s="27"/>
      <c r="BN155" s="27"/>
      <c r="BO155" s="27"/>
      <c r="BP155" s="27"/>
    </row>
    <row r="156" spans="32:68">
      <c r="AK156" s="27"/>
      <c r="AL156" s="27"/>
      <c r="AM156" s="27"/>
      <c r="AN156" s="27"/>
      <c r="AO156" s="27"/>
      <c r="AP156" s="27"/>
      <c r="AX156" s="27"/>
      <c r="AY156" s="27"/>
      <c r="AZ156" s="27"/>
      <c r="BA156" s="27"/>
      <c r="BB156" s="27"/>
      <c r="BC156" s="27"/>
      <c r="BK156" s="27"/>
      <c r="BL156" s="27"/>
      <c r="BM156" s="27"/>
      <c r="BN156" s="27"/>
      <c r="BO156" s="27"/>
      <c r="BP156" s="27"/>
    </row>
    <row r="157" spans="32:68">
      <c r="AK157" s="27"/>
      <c r="AL157" s="27"/>
      <c r="AM157" s="27"/>
      <c r="AN157" s="27"/>
      <c r="AO157" s="27"/>
      <c r="AP157" s="27"/>
      <c r="AX157" s="27"/>
      <c r="AY157" s="27"/>
      <c r="AZ157" s="27"/>
      <c r="BA157" s="27"/>
      <c r="BB157" s="27"/>
      <c r="BC157" s="27"/>
      <c r="BK157" s="27"/>
      <c r="BL157" s="27"/>
      <c r="BM157" s="27"/>
      <c r="BN157" s="27"/>
      <c r="BO157" s="27"/>
      <c r="BP157" s="27"/>
    </row>
    <row r="158" spans="32:68">
      <c r="AK158" s="27"/>
      <c r="AL158" s="27"/>
      <c r="AM158" s="27"/>
      <c r="AN158" s="27"/>
      <c r="AO158" s="27"/>
      <c r="AP158" s="27"/>
      <c r="AX158" s="27"/>
      <c r="AY158" s="27"/>
      <c r="AZ158" s="27"/>
      <c r="BA158" s="27"/>
      <c r="BB158" s="27"/>
      <c r="BC158" s="27"/>
      <c r="BK158" s="27"/>
      <c r="BL158" s="27"/>
      <c r="BM158" s="27"/>
      <c r="BN158" s="27"/>
      <c r="BO158" s="27"/>
      <c r="BP158" s="27"/>
    </row>
    <row r="159" spans="32:68">
      <c r="AK159" s="27"/>
      <c r="AL159" s="27"/>
      <c r="AM159" s="27"/>
      <c r="AN159" s="27"/>
      <c r="AO159" s="27"/>
      <c r="AP159" s="27"/>
      <c r="AX159" s="27"/>
      <c r="AY159" s="27"/>
      <c r="AZ159" s="27"/>
      <c r="BA159" s="27"/>
      <c r="BB159" s="27"/>
      <c r="BC159" s="27"/>
      <c r="BK159" s="27"/>
      <c r="BL159" s="27"/>
      <c r="BM159" s="27"/>
      <c r="BN159" s="27"/>
      <c r="BO159" s="27"/>
      <c r="BP159" s="27"/>
    </row>
    <row r="160" spans="32:68">
      <c r="AK160" s="27"/>
      <c r="AL160" s="27"/>
      <c r="AM160" s="27"/>
      <c r="AN160" s="27"/>
      <c r="AO160" s="27"/>
      <c r="AP160" s="27"/>
      <c r="AX160" s="27"/>
      <c r="AY160" s="27"/>
      <c r="AZ160" s="27"/>
      <c r="BA160" s="27"/>
      <c r="BB160" s="27"/>
      <c r="BC160" s="27"/>
      <c r="BK160" s="27"/>
      <c r="BL160" s="27"/>
      <c r="BM160" s="27"/>
      <c r="BN160" s="27"/>
      <c r="BO160" s="27"/>
      <c r="BP160" s="27"/>
    </row>
    <row r="161" spans="2:68">
      <c r="AK161" s="27"/>
      <c r="AL161" s="27"/>
      <c r="AM161" s="27"/>
      <c r="AN161" s="27"/>
      <c r="AO161" s="27"/>
      <c r="AP161" s="27"/>
      <c r="AX161" s="27"/>
      <c r="AY161" s="27"/>
      <c r="AZ161" s="27"/>
      <c r="BA161" s="27"/>
      <c r="BB161" s="27"/>
      <c r="BC161" s="27"/>
      <c r="BK161" s="27"/>
      <c r="BL161" s="27"/>
      <c r="BM161" s="27"/>
      <c r="BN161" s="27"/>
      <c r="BO161" s="27"/>
      <c r="BP161" s="27"/>
    </row>
    <row r="162" spans="2:68">
      <c r="AK162" s="27"/>
      <c r="AL162" s="27"/>
      <c r="AM162" s="27"/>
      <c r="AN162" s="27"/>
      <c r="AO162" s="27"/>
      <c r="AP162" s="27"/>
      <c r="AX162" s="27"/>
      <c r="AY162" s="27"/>
      <c r="AZ162" s="27"/>
      <c r="BA162" s="27"/>
      <c r="BB162" s="27"/>
      <c r="BC162" s="27"/>
      <c r="BK162" s="27"/>
      <c r="BL162" s="27"/>
      <c r="BM162" s="27"/>
      <c r="BN162" s="27"/>
      <c r="BO162" s="27"/>
      <c r="BP162" s="27"/>
    </row>
    <row r="166" spans="2:68">
      <c r="AK166" s="27"/>
      <c r="AL166" s="27"/>
      <c r="AM166" s="27"/>
      <c r="AN166" s="27"/>
      <c r="AO166" s="27"/>
      <c r="AP166" s="27"/>
      <c r="AX166" s="27"/>
      <c r="AY166" s="27"/>
      <c r="AZ166" s="27"/>
      <c r="BA166" s="27"/>
      <c r="BB166" s="27"/>
      <c r="BC166" s="27"/>
      <c r="BK166" s="27"/>
      <c r="BL166" s="27"/>
      <c r="BM166" s="27"/>
      <c r="BN166" s="27"/>
      <c r="BO166" s="27"/>
      <c r="BP166" s="27"/>
    </row>
    <row r="167" spans="2:68">
      <c r="AK167" s="27"/>
      <c r="AL167" s="27"/>
      <c r="AM167" s="27"/>
      <c r="AN167" s="27"/>
      <c r="AO167" s="27"/>
      <c r="AP167" s="27"/>
      <c r="AX167" s="27"/>
      <c r="AY167" s="27"/>
      <c r="AZ167" s="27"/>
      <c r="BA167" s="27"/>
      <c r="BB167" s="27"/>
      <c r="BC167" s="27"/>
      <c r="BK167" s="27"/>
      <c r="BL167" s="27"/>
      <c r="BM167" s="27"/>
      <c r="BN167" s="27"/>
      <c r="BO167" s="27"/>
      <c r="BP167" s="27"/>
    </row>
    <row r="168" spans="2:68">
      <c r="B168" s="24"/>
      <c r="C168" s="24"/>
      <c r="D168" s="37"/>
      <c r="E168" s="30"/>
      <c r="AF168" s="24"/>
      <c r="AG168" s="24" t="s">
        <v>279</v>
      </c>
      <c r="AH168" s="36"/>
      <c r="AI168" s="30"/>
      <c r="AK168" s="27"/>
      <c r="AL168" s="27"/>
      <c r="AM168" s="27"/>
      <c r="AN168" s="27"/>
      <c r="AO168" s="27"/>
      <c r="AP168" s="27"/>
      <c r="AS168" s="24"/>
      <c r="AT168" s="24" t="s">
        <v>272</v>
      </c>
      <c r="AU168" s="23"/>
      <c r="AV168" s="24"/>
      <c r="AX168" s="27"/>
      <c r="AY168" s="27"/>
      <c r="AZ168" s="27"/>
      <c r="BA168" s="27"/>
      <c r="BB168" s="27"/>
      <c r="BC168" s="27"/>
      <c r="BF168" s="24"/>
      <c r="BG168" s="24" t="s">
        <v>279</v>
      </c>
      <c r="BH168" s="7"/>
      <c r="BI168" s="34"/>
      <c r="BK168" s="27"/>
      <c r="BL168" s="27"/>
      <c r="BM168" s="27"/>
      <c r="BN168" s="27"/>
      <c r="BO168" s="27"/>
      <c r="BP168" s="27"/>
    </row>
    <row r="169" spans="2:68">
      <c r="B169" s="24"/>
      <c r="C169" s="24" t="s">
        <v>273</v>
      </c>
      <c r="D169" s="37">
        <f>(AH121/(3*AH119)*(1-(3.14*AH119^2)/(8*'Раздел (1-11)'!D152))^2+0.66-AH120/(2*AH119))*1+AH122/AH120</f>
        <v>1.4478110885014137</v>
      </c>
      <c r="E169" s="30"/>
      <c r="AF169" s="24"/>
      <c r="AG169" s="24" t="s">
        <v>279</v>
      </c>
      <c r="AH169" s="36"/>
      <c r="AI169" s="30"/>
      <c r="AK169" s="27"/>
      <c r="AL169" s="27"/>
      <c r="AM169" s="27"/>
      <c r="AN169" s="27"/>
      <c r="AO169" s="27"/>
      <c r="AP169" s="27"/>
      <c r="AS169" s="24"/>
      <c r="AT169" s="24" t="s">
        <v>272</v>
      </c>
      <c r="AU169" s="23"/>
      <c r="AV169" s="24"/>
      <c r="AX169" s="27"/>
      <c r="AY169" s="27"/>
      <c r="AZ169" s="27"/>
      <c r="BA169" s="27"/>
      <c r="BB169" s="27"/>
      <c r="BC169" s="27"/>
      <c r="BF169" s="24"/>
      <c r="BG169" s="24" t="s">
        <v>279</v>
      </c>
      <c r="BH169" s="7"/>
      <c r="BI169" s="34"/>
      <c r="BK169" s="27"/>
      <c r="BL169" s="27"/>
      <c r="BM169" s="27"/>
      <c r="BN169" s="27"/>
      <c r="BO169" s="27"/>
      <c r="BP169" s="27"/>
    </row>
    <row r="170" spans="2:68">
      <c r="B170" s="24"/>
      <c r="C170" s="24" t="s">
        <v>274</v>
      </c>
      <c r="D170" s="36"/>
      <c r="E170" s="30"/>
      <c r="AF170" s="24"/>
      <c r="AG170" s="24" t="s">
        <v>279</v>
      </c>
      <c r="AH170" s="36"/>
      <c r="AI170" s="30"/>
      <c r="AK170" s="27"/>
      <c r="AL170" s="27"/>
      <c r="AM170" s="27"/>
      <c r="AN170" s="27"/>
      <c r="AO170" s="27"/>
      <c r="AP170" s="27"/>
      <c r="AS170" s="24"/>
      <c r="AT170" s="24" t="s">
        <v>246</v>
      </c>
      <c r="AU170" s="23"/>
      <c r="AV170" s="24"/>
      <c r="AX170" s="27"/>
      <c r="AY170" s="27"/>
      <c r="AZ170" s="27"/>
      <c r="BA170" s="27"/>
      <c r="BB170" s="27"/>
      <c r="BC170" s="27"/>
      <c r="BF170" s="24"/>
      <c r="BG170" s="24" t="s">
        <v>279</v>
      </c>
      <c r="BH170" s="7"/>
      <c r="BI170" s="34"/>
      <c r="BK170" s="27"/>
      <c r="BL170" s="27"/>
      <c r="BM170" s="27"/>
      <c r="BN170" s="27"/>
      <c r="BO170" s="27"/>
      <c r="BP170" s="27"/>
    </row>
    <row r="171" spans="2:68">
      <c r="B171" s="24"/>
      <c r="C171" s="24" t="s">
        <v>275</v>
      </c>
      <c r="D171" s="36"/>
      <c r="E171" s="30"/>
      <c r="AF171" s="24"/>
      <c r="AG171" s="24" t="s">
        <v>279</v>
      </c>
      <c r="AH171" s="36"/>
      <c r="AI171" s="30"/>
      <c r="AK171" s="27"/>
      <c r="AL171" s="27"/>
      <c r="AM171" s="27"/>
      <c r="AN171" s="27"/>
      <c r="AO171" s="27"/>
      <c r="AP171" s="27"/>
      <c r="AS171" s="24"/>
      <c r="AT171" s="24" t="s">
        <v>96</v>
      </c>
      <c r="AU171" s="23"/>
      <c r="AV171" s="24"/>
      <c r="AX171" s="27"/>
      <c r="AY171" s="27"/>
      <c r="AZ171" s="27"/>
      <c r="BA171" s="27"/>
      <c r="BB171" s="27"/>
      <c r="BC171" s="27"/>
      <c r="BF171" s="24"/>
      <c r="BG171" s="24" t="s">
        <v>279</v>
      </c>
      <c r="BH171" s="7"/>
      <c r="BI171" s="34"/>
      <c r="BK171" s="27"/>
      <c r="BL171" s="27"/>
      <c r="BM171" s="27"/>
      <c r="BN171" s="27"/>
      <c r="BO171" s="27"/>
      <c r="BP171" s="27"/>
    </row>
    <row r="172" spans="2:68">
      <c r="B172" s="24"/>
      <c r="C172" s="24" t="s">
        <v>297</v>
      </c>
      <c r="D172" s="36"/>
      <c r="E172" s="30"/>
      <c r="AK172" s="27"/>
      <c r="AL172" s="27"/>
      <c r="AM172" s="27"/>
      <c r="AN172" s="27"/>
      <c r="AO172" s="27"/>
      <c r="AP172" s="27"/>
      <c r="AS172" s="24"/>
      <c r="AT172" s="24" t="s">
        <v>244</v>
      </c>
      <c r="AU172" s="24"/>
      <c r="AV172" s="24"/>
      <c r="AX172" s="27"/>
      <c r="AY172" s="27"/>
      <c r="AZ172" s="27"/>
      <c r="BA172" s="27"/>
      <c r="BB172" s="27"/>
      <c r="BC172" s="27"/>
      <c r="BK172" s="27"/>
      <c r="BL172" s="27"/>
      <c r="BM172" s="27"/>
      <c r="BN172" s="27"/>
      <c r="BO172" s="27"/>
      <c r="BP172" s="27"/>
    </row>
    <row r="173" spans="2:68">
      <c r="B173" s="24"/>
      <c r="C173" s="24" t="s">
        <v>298</v>
      </c>
      <c r="D173" s="36"/>
      <c r="E173" s="30"/>
      <c r="AK173" s="27"/>
      <c r="AL173" s="27"/>
      <c r="AM173" s="27"/>
      <c r="AN173" s="27"/>
      <c r="AO173" s="27"/>
      <c r="AP173" s="27"/>
      <c r="AS173" s="21"/>
      <c r="AT173" s="21"/>
      <c r="AV173" s="21"/>
      <c r="AX173" s="27"/>
      <c r="AY173" s="27"/>
      <c r="AZ173" s="27"/>
      <c r="BA173" s="27"/>
      <c r="BB173" s="27"/>
      <c r="BC173" s="27"/>
      <c r="BK173" s="27"/>
      <c r="BL173" s="27"/>
      <c r="BM173" s="27"/>
      <c r="BN173" s="27"/>
      <c r="BO173" s="27"/>
      <c r="BP173" s="27"/>
    </row>
    <row r="174" spans="2:68">
      <c r="B174" s="24"/>
      <c r="C174" s="24" t="s">
        <v>299</v>
      </c>
      <c r="D174" s="36"/>
      <c r="E174" s="30"/>
      <c r="AK174" s="27"/>
      <c r="AL174" s="27"/>
      <c r="AM174" s="27"/>
      <c r="AN174" s="27"/>
      <c r="AO174" s="27"/>
      <c r="AP174" s="27"/>
      <c r="AS174" s="21"/>
      <c r="AT174" s="21"/>
      <c r="AV174" s="21"/>
      <c r="AX174" s="27"/>
      <c r="AY174" s="27"/>
      <c r="AZ174" s="27"/>
      <c r="BA174" s="27"/>
      <c r="BB174" s="27"/>
      <c r="BC174" s="27"/>
      <c r="BK174" s="27"/>
      <c r="BL174" s="27"/>
      <c r="BM174" s="27"/>
      <c r="BN174" s="27"/>
      <c r="BO174" s="27"/>
      <c r="BP174" s="27"/>
    </row>
    <row r="175" spans="2:68">
      <c r="B175" s="24"/>
      <c r="C175" s="24" t="s">
        <v>300</v>
      </c>
      <c r="D175" s="24"/>
      <c r="E175" s="24"/>
      <c r="AK175" s="27"/>
      <c r="AL175" s="27"/>
      <c r="AM175" s="27"/>
      <c r="AN175" s="27"/>
      <c r="AO175" s="27"/>
      <c r="AP175" s="27"/>
      <c r="AX175" s="27"/>
      <c r="AY175" s="27"/>
      <c r="AZ175" s="27"/>
      <c r="BA175" s="27"/>
      <c r="BB175" s="27"/>
      <c r="BC175" s="27"/>
      <c r="BK175" s="27"/>
      <c r="BL175" s="27"/>
      <c r="BM175" s="27"/>
      <c r="BN175" s="27"/>
      <c r="BO175" s="27"/>
      <c r="BP175" s="27"/>
    </row>
    <row r="176" spans="2:68">
      <c r="AK176" s="27"/>
      <c r="AL176" s="27"/>
      <c r="AM176" s="27"/>
      <c r="AN176" s="27"/>
      <c r="AO176" s="27"/>
      <c r="AP176" s="27"/>
      <c r="AX176" s="27"/>
      <c r="AY176" s="27"/>
      <c r="AZ176" s="27"/>
      <c r="BA176" s="27"/>
      <c r="BB176" s="27"/>
      <c r="BC176" s="27"/>
      <c r="BK176" s="27"/>
      <c r="BL176" s="27"/>
      <c r="BM176" s="27"/>
      <c r="BN176" s="27"/>
      <c r="BO176" s="27"/>
      <c r="BP176" s="27"/>
    </row>
    <row r="177" spans="37:68">
      <c r="AK177" s="27"/>
      <c r="AL177" s="27"/>
      <c r="AM177" s="27"/>
      <c r="AN177" s="27"/>
      <c r="AO177" s="27"/>
      <c r="AP177" s="27"/>
      <c r="AX177" s="27"/>
      <c r="AY177" s="27"/>
      <c r="AZ177" s="27"/>
      <c r="BA177" s="27"/>
      <c r="BB177" s="27"/>
      <c r="BC177" s="27"/>
      <c r="BK177" s="27"/>
      <c r="BL177" s="27"/>
      <c r="BM177" s="27"/>
      <c r="BN177" s="27"/>
      <c r="BO177" s="27"/>
      <c r="BP177" s="27"/>
    </row>
    <row r="178" spans="37:68">
      <c r="AK178" s="27"/>
      <c r="AL178" s="27"/>
      <c r="AM178" s="27"/>
      <c r="AN178" s="27"/>
      <c r="AO178" s="27"/>
      <c r="AP178" s="27"/>
      <c r="AX178" s="27"/>
      <c r="AY178" s="27"/>
      <c r="AZ178" s="27"/>
      <c r="BA178" s="27"/>
      <c r="BB178" s="27"/>
      <c r="BC178" s="27"/>
      <c r="BK178" s="27"/>
      <c r="BL178" s="27"/>
      <c r="BM178" s="27"/>
      <c r="BO178" s="27"/>
      <c r="BP178" s="27"/>
    </row>
    <row r="179" spans="37:68">
      <c r="AK179" s="27"/>
      <c r="AL179" s="27"/>
      <c r="AM179" s="27"/>
      <c r="AN179" s="27"/>
      <c r="AO179" s="27"/>
      <c r="AP179" s="27"/>
      <c r="AX179" s="27"/>
      <c r="AY179" s="27"/>
      <c r="AZ179" s="27"/>
      <c r="BA179" s="27"/>
      <c r="BB179" s="27"/>
      <c r="BC179" s="27"/>
      <c r="BK179" s="27"/>
      <c r="BL179" s="27"/>
      <c r="BM179" s="27"/>
      <c r="BN179" s="27"/>
      <c r="BO179" s="27"/>
      <c r="BP179" s="27"/>
    </row>
    <row r="180" spans="37:68">
      <c r="AK180" s="27"/>
      <c r="AL180" s="27"/>
      <c r="AM180" s="27"/>
      <c r="AN180" s="27"/>
      <c r="AO180" s="27"/>
      <c r="AP180" s="27"/>
      <c r="AX180" s="27"/>
      <c r="AY180" s="27"/>
      <c r="AZ180" s="27"/>
      <c r="BA180" s="27"/>
      <c r="BB180" s="27"/>
      <c r="BC180" s="27"/>
      <c r="BK180" s="27"/>
      <c r="BL180" s="27"/>
      <c r="BM180" s="27"/>
      <c r="BN180" s="27"/>
      <c r="BO180" s="27"/>
      <c r="BP180" s="27"/>
    </row>
    <row r="181" spans="37:68">
      <c r="AK181" s="27"/>
      <c r="AL181" s="27"/>
      <c r="AM181" s="27"/>
      <c r="AN181" s="27"/>
      <c r="AO181" s="27"/>
      <c r="AP181" s="27"/>
      <c r="AX181" s="27"/>
      <c r="AY181" s="27"/>
      <c r="AZ181" s="27"/>
      <c r="BA181" s="27"/>
      <c r="BB181" s="27"/>
      <c r="BC181" s="27"/>
      <c r="BK181" s="27"/>
      <c r="BL181" s="27"/>
      <c r="BM181" s="27"/>
      <c r="BN181" s="27"/>
      <c r="BO181" s="27"/>
      <c r="BP181" s="27"/>
    </row>
    <row r="182" spans="37:68">
      <c r="AK182" s="27"/>
      <c r="AL182" s="27"/>
      <c r="AM182" s="27"/>
      <c r="AN182" s="27"/>
      <c r="AO182" s="27"/>
      <c r="AP182" s="27"/>
      <c r="AX182" s="27"/>
      <c r="AY182" s="27"/>
      <c r="AZ182" s="27"/>
      <c r="BA182" s="27"/>
      <c r="BB182" s="27"/>
      <c r="BC182" s="27"/>
      <c r="BK182" s="27"/>
      <c r="BL182" s="27"/>
      <c r="BM182" s="27"/>
      <c r="BN182" s="27"/>
      <c r="BO182" s="27"/>
      <c r="BP182" s="27"/>
    </row>
    <row r="183" spans="37:68">
      <c r="AK183" s="27"/>
      <c r="AL183" s="27"/>
      <c r="AM183" s="27"/>
      <c r="AN183" s="27"/>
      <c r="AO183" s="27"/>
      <c r="AP183" s="27"/>
      <c r="AX183" s="27"/>
      <c r="AY183" s="27"/>
      <c r="AZ183" s="27"/>
      <c r="BA183" s="27"/>
      <c r="BB183" s="27"/>
      <c r="BC183" s="27"/>
      <c r="BK183" s="27"/>
      <c r="BL183" s="27"/>
      <c r="BM183" s="27"/>
      <c r="BN183" s="27"/>
      <c r="BO183" s="27"/>
      <c r="BP183" s="27"/>
    </row>
    <row r="184" spans="37:68">
      <c r="AK184" s="27"/>
      <c r="AL184" s="27"/>
      <c r="AM184" s="27"/>
      <c r="AN184" s="27"/>
      <c r="AO184" s="27"/>
      <c r="AP184" s="27"/>
      <c r="AX184" s="27"/>
      <c r="AY184" s="27"/>
      <c r="AZ184" s="27"/>
      <c r="BA184" s="27"/>
      <c r="BB184" s="27"/>
      <c r="BC184" s="27"/>
      <c r="BK184" s="27"/>
      <c r="BL184" s="27"/>
      <c r="BM184" s="27"/>
      <c r="BN184" s="27"/>
      <c r="BO184" s="27"/>
      <c r="BP184" s="27"/>
    </row>
    <row r="185" spans="37:68">
      <c r="AK185" s="27"/>
      <c r="AL185" s="27"/>
      <c r="AM185" s="27"/>
      <c r="AN185" s="27"/>
      <c r="AO185" s="27"/>
      <c r="AP185" s="27"/>
      <c r="AX185" s="27"/>
      <c r="AY185" s="27"/>
      <c r="AZ185" s="27"/>
      <c r="BA185" s="27"/>
      <c r="BB185" s="27"/>
      <c r="BC185" s="27"/>
      <c r="BK185" s="27"/>
      <c r="BL185" s="27"/>
      <c r="BM185" s="27"/>
      <c r="BN185" s="27"/>
      <c r="BO185" s="27"/>
      <c r="BP185" s="27"/>
    </row>
    <row r="186" spans="37:68">
      <c r="AK186" s="27"/>
      <c r="AL186" s="27"/>
      <c r="AM186" s="27"/>
      <c r="AN186" s="27"/>
      <c r="AO186" s="27"/>
      <c r="AP186" s="27"/>
      <c r="AX186" s="27"/>
      <c r="AY186" s="27"/>
      <c r="AZ186" s="27"/>
      <c r="BA186" s="27"/>
      <c r="BB186" s="27"/>
      <c r="BC186" s="27"/>
      <c r="BK186" s="27"/>
      <c r="BL186" s="27"/>
      <c r="BM186" s="27"/>
      <c r="BN186" s="27"/>
      <c r="BO186" s="27"/>
      <c r="BP186" s="27"/>
    </row>
    <row r="187" spans="37:68">
      <c r="AK187" s="27"/>
      <c r="AL187" s="27"/>
      <c r="AM187" s="27"/>
      <c r="AN187" s="27"/>
      <c r="AO187" s="27"/>
      <c r="AP187" s="27"/>
      <c r="AX187" s="27"/>
      <c r="AY187" s="27"/>
      <c r="AZ187" s="27"/>
      <c r="BA187" s="27"/>
      <c r="BB187" s="27"/>
      <c r="BC187" s="27"/>
      <c r="BK187" s="27"/>
      <c r="BL187" s="27"/>
      <c r="BM187" s="27"/>
      <c r="BN187" s="27"/>
      <c r="BO187" s="27"/>
      <c r="BP187" s="27"/>
    </row>
  </sheetData>
  <pageMargins left="0.7" right="0.7" top="0.75" bottom="0.75" header="0.3" footer="0.3"/>
  <pageSetup paperSize="9"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B11:AP63"/>
  <sheetViews>
    <sheetView zoomScaleNormal="100" workbookViewId="0">
      <selection activeCell="T14" sqref="T14"/>
    </sheetView>
  </sheetViews>
  <sheetFormatPr defaultRowHeight="15"/>
  <cols>
    <col min="1" max="1" width="9.140625" style="29"/>
    <col min="2" max="2" width="9.140625" style="29" customWidth="1"/>
    <col min="3" max="3" width="11.85546875" style="29" customWidth="1"/>
    <col min="4" max="4" width="9.140625" style="29" customWidth="1"/>
    <col min="5" max="5" width="9.140625" style="29"/>
    <col min="6" max="6" width="17.85546875" style="29" customWidth="1"/>
    <col min="7" max="7" width="9.140625" style="29"/>
    <col min="8" max="8" width="13.85546875" style="29" customWidth="1"/>
    <col min="9" max="9" width="9.140625" style="29"/>
    <col min="10" max="10" width="9.7109375" style="29" customWidth="1"/>
    <col min="11" max="11" width="36.5703125" style="29" customWidth="1"/>
    <col min="12" max="12" width="19.140625" style="99" customWidth="1"/>
    <col min="13" max="14" width="8.42578125" style="99" bestFit="1" customWidth="1"/>
    <col min="15" max="15" width="9.140625" style="99"/>
    <col min="16" max="18" width="8.42578125" style="99" bestFit="1" customWidth="1"/>
    <col min="19" max="16384" width="9.140625" style="29"/>
  </cols>
  <sheetData>
    <row r="11" spans="2:10" ht="53.25" customHeight="1">
      <c r="B11" s="27"/>
      <c r="C11" s="27"/>
      <c r="D11" s="52"/>
      <c r="E11" s="52"/>
      <c r="F11" s="52"/>
      <c r="G11" s="52"/>
      <c r="H11" s="52"/>
      <c r="I11" s="27"/>
      <c r="J11" s="27"/>
    </row>
    <row r="12" spans="2:10" ht="15.75">
      <c r="B12" s="52">
        <f>'Раздел (1-11)'!D4</f>
        <v>22000</v>
      </c>
      <c r="C12" s="52">
        <f>'Раздел (1-11)'!D6</f>
        <v>380</v>
      </c>
      <c r="D12" s="52">
        <f>'Раздел (1-11)'!D58</f>
        <v>24.920255183413076</v>
      </c>
      <c r="E12" s="52">
        <f>'Раздел (1-11)'!D12</f>
        <v>2</v>
      </c>
      <c r="F12" s="52">
        <f>('Раздел (1-11)'!D294+'Раздел (1-11)'!D295)/1000</f>
        <v>1.628449313175194</v>
      </c>
      <c r="G12" s="52">
        <f>'Раздел (1-11)'!D313</f>
        <v>1.2648913989496944</v>
      </c>
      <c r="H12" s="52">
        <f>'Раздел (1-11)'!D198</f>
        <v>5.1474816477866634</v>
      </c>
      <c r="I12" s="100">
        <f>'Раздел (1-11)'!D6</f>
        <v>380</v>
      </c>
      <c r="J12" s="100">
        <f>'Раздел (1-11)'!D58</f>
        <v>24.920255183413076</v>
      </c>
    </row>
    <row r="15" spans="2:10" ht="38.25" customHeight="1">
      <c r="B15" s="52"/>
      <c r="C15" s="52"/>
      <c r="D15" s="27"/>
      <c r="E15" s="27"/>
      <c r="F15" s="27"/>
      <c r="G15" s="27"/>
      <c r="H15" s="27"/>
      <c r="I15" s="28"/>
      <c r="J15" s="28"/>
    </row>
    <row r="16" spans="2:10">
      <c r="B16" s="27">
        <f>'Раздел (1-11)'!D204</f>
        <v>0.17242571655774966</v>
      </c>
      <c r="C16" s="27">
        <f>'Раздел (1-11)'!D221</f>
        <v>0.10632425401623188</v>
      </c>
      <c r="D16" s="27">
        <f>'Раздел (1-11)'!D312</f>
        <v>1.0057473673407722</v>
      </c>
      <c r="E16" s="27">
        <f>'Раздел (1-11)'!D314</f>
        <v>1.0115277669128941</v>
      </c>
      <c r="F16" s="27">
        <f>'Раздел (1-11)'!D315</f>
        <v>0.17341671048980292</v>
      </c>
      <c r="G16" s="27">
        <f>'Раздел (1-11)'!D316</f>
        <v>0</v>
      </c>
      <c r="H16" s="27">
        <f>'Раздел (1-11)'!D317</f>
        <v>0.42706554732176233</v>
      </c>
      <c r="I16" s="28"/>
      <c r="J16" s="28"/>
    </row>
    <row r="17" spans="10:42"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28"/>
      <c r="AO17" s="28"/>
      <c r="AP17" s="28"/>
    </row>
    <row r="18" spans="10:42">
      <c r="Y18" s="28"/>
      <c r="Z18" s="28"/>
      <c r="AA18" s="28"/>
      <c r="AB18" s="28"/>
      <c r="AC18" s="28"/>
      <c r="AD18" s="28"/>
      <c r="AE18" s="28"/>
      <c r="AF18" s="55"/>
      <c r="AG18" s="28"/>
      <c r="AH18" s="28"/>
      <c r="AI18" s="28"/>
      <c r="AJ18" s="28"/>
      <c r="AK18" s="28"/>
      <c r="AL18" s="28"/>
      <c r="AM18" s="28"/>
      <c r="AN18" s="28"/>
      <c r="AO18" s="28"/>
      <c r="AP18" s="28"/>
    </row>
    <row r="19" spans="10:42">
      <c r="Y19" s="28"/>
      <c r="Z19" s="28"/>
      <c r="AA19" s="28"/>
      <c r="AB19" s="28"/>
      <c r="AC19" s="28"/>
      <c r="AD19" s="28"/>
      <c r="AE19" s="28"/>
      <c r="AF19" s="55"/>
      <c r="AG19" s="28"/>
      <c r="AH19" s="28"/>
      <c r="AI19" s="28"/>
      <c r="AJ19" s="28"/>
      <c r="AK19" s="28"/>
      <c r="AL19" s="28"/>
      <c r="AM19" s="28"/>
      <c r="AN19" s="28"/>
      <c r="AO19" s="28"/>
      <c r="AP19" s="28"/>
    </row>
    <row r="20" spans="10:42" ht="26.25" customHeight="1"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</row>
    <row r="21" spans="10:42"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</row>
    <row r="22" spans="10:42">
      <c r="K22" s="53" t="s">
        <v>422</v>
      </c>
      <c r="L22" s="53" t="s">
        <v>666</v>
      </c>
      <c r="M22" s="53">
        <v>1</v>
      </c>
      <c r="N22" s="53">
        <v>0.8</v>
      </c>
      <c r="O22" s="53">
        <v>0.5</v>
      </c>
      <c r="P22" s="53">
        <v>0.2</v>
      </c>
      <c r="Q22" s="53">
        <v>0.1</v>
      </c>
      <c r="R22" s="53">
        <v>0.8</v>
      </c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</row>
    <row r="23" spans="10:42" ht="43.5" customHeight="1">
      <c r="J23" s="104"/>
      <c r="K23" s="27"/>
      <c r="L23" s="53" t="s">
        <v>640</v>
      </c>
      <c r="M23" s="105">
        <f>63.61*'Раздел (1-11)'!D330*(M22^(1/2))</f>
        <v>1.1560277089957234</v>
      </c>
      <c r="N23" s="105">
        <f>63.61*'Раздел (1-11)'!D330*(N22^(1/2))</f>
        <v>1.0339826164751129</v>
      </c>
      <c r="O23" s="105">
        <f>63.61*'Раздел (1-11)'!D330*(O22^(1/2))</f>
        <v>0.81743503227042491</v>
      </c>
      <c r="P23" s="105">
        <f>63.61*'Раздел (1-11)'!D330*(P22^(1/2))</f>
        <v>0.51699130823755646</v>
      </c>
      <c r="Q23" s="105">
        <f>63.61*'Раздел (1-11)'!D330*(Q22^(1/2))</f>
        <v>0.36556805986928081</v>
      </c>
      <c r="R23" s="105">
        <f>63.61*'Раздел (1-11)'!D330*(R22^(1/2))</f>
        <v>1.0339826164751129</v>
      </c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</row>
    <row r="24" spans="10:42" ht="39.75" customHeight="1">
      <c r="J24" s="104"/>
      <c r="K24" s="27"/>
      <c r="L24" s="53" t="s">
        <v>640</v>
      </c>
      <c r="M24" s="106">
        <f>0.9</f>
        <v>0.9</v>
      </c>
      <c r="N24" s="106">
        <v>0.55000000000000004</v>
      </c>
      <c r="O24" s="106">
        <v>0.5</v>
      </c>
      <c r="P24" s="106">
        <v>0.4</v>
      </c>
      <c r="Q24" s="106">
        <v>0.3</v>
      </c>
      <c r="R24" s="106">
        <v>0.55000000000000004</v>
      </c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</row>
    <row r="25" spans="10:42" ht="39.75" customHeight="1">
      <c r="J25" s="104"/>
      <c r="K25" s="27"/>
      <c r="L25" s="53" t="s">
        <v>640</v>
      </c>
      <c r="M25" s="106">
        <v>0.5</v>
      </c>
      <c r="N25" s="106">
        <v>0.45</v>
      </c>
      <c r="O25" s="106">
        <v>0.4</v>
      </c>
      <c r="P25" s="106">
        <v>0.3</v>
      </c>
      <c r="Q25" s="106">
        <v>0.2</v>
      </c>
      <c r="R25" s="106">
        <v>0.45</v>
      </c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28"/>
      <c r="AO25" s="28"/>
      <c r="AP25" s="28"/>
    </row>
    <row r="26" spans="10:42" ht="61.5" customHeight="1">
      <c r="J26" s="104"/>
      <c r="K26" s="27"/>
      <c r="L26" s="53" t="s">
        <v>640</v>
      </c>
      <c r="M26" s="105">
        <f>'Раздел (1-11)'!$D$330/(1+'Рабочие и пусковые'!M24)</f>
        <v>9.5650941096295967E-3</v>
      </c>
      <c r="N26" s="105">
        <f>'Раздел (1-11)'!$D$330/(1+'Рабочие и пусковые'!N24)</f>
        <v>1.1724954069868537E-2</v>
      </c>
      <c r="O26" s="105">
        <f>'Раздел (1-11)'!$D$330/(1+'Рабочие и пусковые'!O24)</f>
        <v>1.211578587219749E-2</v>
      </c>
      <c r="P26" s="105">
        <f>'Раздел (1-11)'!$D$330/(1+'Рабочие и пусковые'!P24)</f>
        <v>1.2981199148783025E-2</v>
      </c>
      <c r="Q26" s="105">
        <f>'Раздел (1-11)'!$D$330/(1+'Рабочие и пусковые'!Q24)</f>
        <v>1.3979752929458642E-2</v>
      </c>
      <c r="R26" s="105">
        <f>'Раздел (1-11)'!$D$330/(1+'Рабочие и пусковые'!R24)</f>
        <v>1.1724954069868537E-2</v>
      </c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28"/>
      <c r="AO26" s="28"/>
      <c r="AP26" s="28"/>
    </row>
    <row r="27" spans="10:42" ht="74.25" customHeight="1">
      <c r="J27" s="104"/>
      <c r="K27" s="27"/>
      <c r="L27" s="53" t="s">
        <v>640</v>
      </c>
      <c r="M27" s="105">
        <f>'Раздел (1-11)'!$D$152/((3.14*('Раздел (1-11)'!$D$106)^2)/((4*(M25+1))))</f>
        <v>1.6887059235535899</v>
      </c>
      <c r="N27" s="105">
        <f>'Раздел (1-11)'!$D$152/((3.14*('Раздел (1-11)'!$D$106)^2)/((4*(N25+1))))</f>
        <v>1.6324157261018037</v>
      </c>
      <c r="O27" s="105">
        <f>'Раздел (1-11)'!$D$152/((3.14*('Раздел (1-11)'!$D$106)^2)/((4*(O25+1))))</f>
        <v>1.5761255286500173</v>
      </c>
      <c r="P27" s="105">
        <f>'Раздел (1-11)'!$D$152/((3.14*('Раздел (1-11)'!$D$106)^2)/((4*(P25+1))))</f>
        <v>1.4635451337464447</v>
      </c>
      <c r="Q27" s="105">
        <f>'Раздел (1-11)'!$D$152/((3.14*('Раздел (1-11)'!$D$106)^2)/((4*(Q25+1))))</f>
        <v>1.350964738842872</v>
      </c>
      <c r="R27" s="105">
        <f>'Раздел (1-11)'!$D$152/((3.14*('Раздел (1-11)'!$D$106)^2)/((4*(R25+1))))</f>
        <v>1.6324157261018037</v>
      </c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28"/>
      <c r="AO27" s="28"/>
      <c r="AP27" s="28"/>
    </row>
    <row r="28" spans="10:42" ht="64.5" customHeight="1">
      <c r="J28" s="104"/>
      <c r="K28" s="27"/>
      <c r="L28" s="53" t="s">
        <v>640</v>
      </c>
      <c r="M28" s="105">
        <f>1+('Раздел (1-11)'!$D$216/'Раздел (1-11)'!$D$217)*(M27-1)</f>
        <v>213.26810809300804</v>
      </c>
      <c r="N28" s="105">
        <f>1+('Раздел (1-11)'!$D$216/'Раздел (1-11)'!$D$217)*(N27-1)</f>
        <v>195.91873834224421</v>
      </c>
      <c r="O28" s="105">
        <f>1+('Раздел (1-11)'!$D$216/'Раздел (1-11)'!$D$217)*(O27-1)</f>
        <v>178.56936859148033</v>
      </c>
      <c r="P28" s="105">
        <f>1+('Раздел (1-11)'!$D$216/'Раздел (1-11)'!$D$217)*(P27-1)</f>
        <v>143.87062908995259</v>
      </c>
      <c r="Q28" s="105">
        <f>1+('Раздел (1-11)'!$D$216/'Раздел (1-11)'!$D$217)*(Q27-1)</f>
        <v>109.17188958842486</v>
      </c>
      <c r="R28" s="105">
        <f>1+('Раздел (1-11)'!$D$216/'Раздел (1-11)'!$D$217)*(R27-1)</f>
        <v>195.91873834224421</v>
      </c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28"/>
      <c r="AO28" s="28"/>
      <c r="AP28" s="28"/>
    </row>
    <row r="29" spans="10:42" ht="39.75" customHeight="1">
      <c r="J29" s="104"/>
      <c r="K29" s="27"/>
      <c r="L29" s="53" t="s">
        <v>667</v>
      </c>
      <c r="M29" s="105">
        <f>M28*'Раздел (1-11)'!$D$221</f>
        <v>22.675572498442186</v>
      </c>
      <c r="N29" s="105">
        <f>N28*'Раздел (1-11)'!$D$221</f>
        <v>20.830913702040444</v>
      </c>
      <c r="O29" s="105">
        <f>O28*'Раздел (1-11)'!$D$221</f>
        <v>18.986254905638695</v>
      </c>
      <c r="P29" s="105">
        <f>P28*'Раздел (1-11)'!$D$221</f>
        <v>15.296937312835199</v>
      </c>
      <c r="Q29" s="105">
        <f>Q28*'Раздел (1-11)'!$D$221</f>
        <v>11.607619720031705</v>
      </c>
      <c r="R29" s="105">
        <f>R28*'Раздел (1-11)'!$D$221</f>
        <v>20.830913702040444</v>
      </c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28"/>
      <c r="AO29" s="28"/>
      <c r="AP29" s="28"/>
    </row>
    <row r="30" spans="10:42" ht="38.25" customHeight="1">
      <c r="J30" s="104"/>
      <c r="K30" s="27"/>
      <c r="L30" s="53" t="s">
        <v>640</v>
      </c>
      <c r="M30" s="105">
        <f>M25</f>
        <v>0.5</v>
      </c>
      <c r="N30" s="105">
        <f>N25</f>
        <v>0.45</v>
      </c>
      <c r="O30" s="105">
        <f t="shared" ref="O30:R30" si="0">O25</f>
        <v>0.4</v>
      </c>
      <c r="P30" s="105">
        <f t="shared" si="0"/>
        <v>0.3</v>
      </c>
      <c r="Q30" s="105">
        <f t="shared" si="0"/>
        <v>0.2</v>
      </c>
      <c r="R30" s="105">
        <f t="shared" si="0"/>
        <v>0.45</v>
      </c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28"/>
      <c r="AO30" s="28"/>
      <c r="AP30" s="28"/>
    </row>
    <row r="31" spans="10:42" ht="36" customHeight="1">
      <c r="J31" s="104"/>
      <c r="K31" s="27"/>
      <c r="L31" s="53" t="s">
        <v>640</v>
      </c>
      <c r="M31" s="105" t="s">
        <v>640</v>
      </c>
      <c r="N31" s="105" t="s">
        <v>640</v>
      </c>
      <c r="O31" s="105" t="s">
        <v>640</v>
      </c>
      <c r="P31" s="105" t="s">
        <v>640</v>
      </c>
      <c r="Q31" s="105" t="s">
        <v>640</v>
      </c>
      <c r="R31" s="105" t="s">
        <v>640</v>
      </c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28"/>
      <c r="AO31" s="28"/>
      <c r="AP31" s="28"/>
    </row>
    <row r="32" spans="10:42" ht="72.75" customHeight="1">
      <c r="J32" s="104"/>
      <c r="K32" s="27"/>
      <c r="L32" s="53" t="s">
        <v>640</v>
      </c>
      <c r="M32" s="105" t="s">
        <v>640</v>
      </c>
      <c r="N32" s="105" t="s">
        <v>640</v>
      </c>
      <c r="O32" s="105" t="s">
        <v>640</v>
      </c>
      <c r="P32" s="105" t="s">
        <v>640</v>
      </c>
      <c r="Q32" s="105" t="s">
        <v>640</v>
      </c>
      <c r="R32" s="105" t="s">
        <v>640</v>
      </c>
      <c r="Y32" s="28"/>
      <c r="Z32" s="28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8"/>
      <c r="AM32" s="28"/>
      <c r="AN32" s="28"/>
      <c r="AO32" s="28"/>
      <c r="AP32" s="28"/>
    </row>
    <row r="33" spans="2:42" ht="38.25" customHeight="1">
      <c r="J33" s="104"/>
      <c r="K33" s="27"/>
      <c r="L33" s="53" t="s">
        <v>667</v>
      </c>
      <c r="M33" s="105" t="s">
        <v>640</v>
      </c>
      <c r="N33" s="105" t="s">
        <v>640</v>
      </c>
      <c r="O33" s="105" t="s">
        <v>640</v>
      </c>
      <c r="P33" s="105" t="s">
        <v>640</v>
      </c>
      <c r="Q33" s="105" t="s">
        <v>640</v>
      </c>
      <c r="R33" s="105" t="s">
        <v>640</v>
      </c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28"/>
      <c r="AO33" s="28"/>
      <c r="AP33" s="28"/>
    </row>
    <row r="34" spans="2:42" ht="63" customHeight="1">
      <c r="J34" s="104"/>
      <c r="K34" s="27"/>
      <c r="L34" s="53" t="s">
        <v>667</v>
      </c>
      <c r="M34" s="105">
        <f>'Рабочие и пусковые'!$D$200+('Раздел (1-11)'!$D$377*'Раздел (1-11)'!$D$349)/M22</f>
        <v>0.10644499914217467</v>
      </c>
      <c r="N34" s="105">
        <f>'Рабочие и пусковые'!$D$200+('Раздел (1-11)'!$D$377*'Раздел (1-11)'!$D$349)/N22</f>
        <v>0.13305624892771833</v>
      </c>
      <c r="O34" s="105">
        <f>'Рабочие и пусковые'!$D$200+('Раздел (1-11)'!$D$377*'Раздел (1-11)'!$D$349)/O22</f>
        <v>0.21288999828434935</v>
      </c>
      <c r="P34" s="105">
        <f>'Рабочие и пусковые'!$D$200+('Раздел (1-11)'!$D$377*'Раздел (1-11)'!$D$349)/P22</f>
        <v>0.53222499571087334</v>
      </c>
      <c r="Q34" s="105">
        <f>'Рабочие и пусковые'!$D$200+('Раздел (1-11)'!$D$377*'Раздел (1-11)'!$D$349)/Q22</f>
        <v>1.0644499914217467</v>
      </c>
      <c r="R34" s="105">
        <f>'Рабочие и пусковые'!$D$200+('Раздел (1-11)'!$D$377*'Раздел (1-11)'!$D$349)/R22</f>
        <v>0.13305624892771833</v>
      </c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28"/>
      <c r="AO34" s="28"/>
      <c r="AP34" s="28"/>
    </row>
    <row r="35" spans="2:42" ht="39" customHeight="1">
      <c r="J35" s="104"/>
      <c r="K35" s="27"/>
      <c r="L35" s="53" t="s">
        <v>640</v>
      </c>
      <c r="M35" s="105">
        <f>'Раздел (1-11)'!$D$223+'Раздел (1-11)'!$D$377*'Раздел (1-11)'!$D$349</f>
        <v>0.53073006491458152</v>
      </c>
      <c r="N35" s="105" t="s">
        <v>640</v>
      </c>
      <c r="O35" s="105" t="s">
        <v>640</v>
      </c>
      <c r="P35" s="105" t="s">
        <v>640</v>
      </c>
      <c r="Q35" s="105" t="s">
        <v>640</v>
      </c>
      <c r="R35" s="105" t="s">
        <v>640</v>
      </c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28"/>
      <c r="AO35" s="28"/>
      <c r="AP35" s="28"/>
    </row>
    <row r="36" spans="2:42" ht="69" customHeight="1">
      <c r="J36" s="104"/>
      <c r="K36" s="27"/>
      <c r="L36" s="53" t="s">
        <v>63</v>
      </c>
      <c r="M36" s="105">
        <f>'Раздел (1-11)'!$D$4/((M34^2)+'Рабочие и пусковые'!$M$35)^0.5</f>
        <v>29881.249858370025</v>
      </c>
      <c r="N36" s="105">
        <f>'Раздел (1-11)'!$D$4/((N34^2)+'Рабочие и пусковые'!$M$35)^0.5</f>
        <v>29707.115406092278</v>
      </c>
      <c r="O36" s="105">
        <f>'Раздел (1-11)'!$D$4/((O34^2)+'Рабочие и пусковые'!$M$35)^0.5</f>
        <v>28986.231399639892</v>
      </c>
      <c r="P36" s="105">
        <f>'Раздел (1-11)'!$D$4/((P34^2)+'Рабочие и пусковые'!$M$35)^0.5</f>
        <v>24384.407612397114</v>
      </c>
      <c r="Q36" s="105">
        <f>'Раздел (1-11)'!$D$4/((Q34^2)+'Рабочие и пусковые'!$M$35)^0.5</f>
        <v>17055.883807540391</v>
      </c>
      <c r="R36" s="105">
        <f>'Раздел (1-11)'!$D$4/((R34^2)+'Рабочие и пусковые'!$M$35)^0.5</f>
        <v>29707.115406092278</v>
      </c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28"/>
      <c r="AO36" s="28"/>
      <c r="AP36" s="28"/>
    </row>
    <row r="37" spans="2:42" ht="79.5" customHeight="1">
      <c r="B37" s="28"/>
      <c r="C37" s="28"/>
      <c r="J37" s="104"/>
      <c r="K37" s="27"/>
      <c r="L37" s="53" t="s">
        <v>63</v>
      </c>
      <c r="M37" s="105">
        <f>('Раздел (1-11)'!$D$375*(((M34^2)+('Рабочие и пусковые'!$M$35+'Раздел (1-11)'!$D$374)^2)^0.5))/('Раздел (1-11)'!$D$377*'Раздел (1-11)'!$D$374)</f>
        <v>224.35573899216448</v>
      </c>
      <c r="N37" s="105">
        <f>('Раздел (1-11)'!$D$375*(((N34^2)+('Рабочие и пусковые'!$M$35+'Раздел (1-11)'!$D$374)^2)^0.5))/('Раздел (1-11)'!$D$377*'Раздел (1-11)'!$D$374)</f>
        <v>224.35578891634077</v>
      </c>
      <c r="O37" s="105">
        <f>('Раздел (1-11)'!$D$375*(((O34^2)+('Рабочие и пусковые'!$M$35+'Раздел (1-11)'!$D$374)^2)^0.5))/('Раздел (1-11)'!$D$377*'Раздел (1-11)'!$D$374)</f>
        <v>224.35600525430968</v>
      </c>
      <c r="P37" s="105">
        <f>('Раздел (1-11)'!$D$375*(((P34^2)+('Рабочие и пусковые'!$M$35+'Раздел (1-11)'!$D$374)^2)^0.5))/('Раздел (1-11)'!$D$377*'Раздел (1-11)'!$D$374)</f>
        <v>224.35786908047825</v>
      </c>
      <c r="Q37" s="105">
        <f>('Раздел (1-11)'!$D$375*(((Q34^2)+('Рабочие и пусковые'!$M$35+'Раздел (1-11)'!$D$374)^2)^0.5))/('Раздел (1-11)'!$D$377*'Раздел (1-11)'!$D$374)</f>
        <v>224.3645254761166</v>
      </c>
      <c r="R37" s="105">
        <f>('Раздел (1-11)'!$D$375*(((R34^2)+('Рабочие и пусковые'!$M$35+'Раздел (1-11)'!$D$374)^2)^0.5))/('Раздел (1-11)'!$D$377*'Раздел (1-11)'!$D$374)</f>
        <v>224.35578891634077</v>
      </c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28"/>
      <c r="AO37" s="28"/>
      <c r="AP37" s="28"/>
    </row>
    <row r="38" spans="2:42">
      <c r="B38" s="28"/>
      <c r="C38" s="28"/>
      <c r="J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28"/>
      <c r="AO38" s="28"/>
      <c r="AP38" s="28"/>
    </row>
    <row r="39" spans="2:42">
      <c r="B39" s="28"/>
      <c r="C39" s="28"/>
      <c r="J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28"/>
      <c r="AO39" s="28"/>
      <c r="AP39" s="28"/>
    </row>
    <row r="40" spans="2:42">
      <c r="B40" s="28"/>
      <c r="C40" s="28"/>
      <c r="J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28"/>
      <c r="AO40" s="28"/>
      <c r="AP40" s="28"/>
    </row>
    <row r="41" spans="2:42">
      <c r="B41" s="28"/>
      <c r="C41" s="28"/>
      <c r="J41" s="28"/>
      <c r="Y41" s="28"/>
      <c r="Z41" s="28"/>
      <c r="AA41" s="28"/>
      <c r="AB41" s="28"/>
      <c r="AC41" s="28"/>
      <c r="AD41" s="28"/>
      <c r="AE41" s="28"/>
      <c r="AF41" s="28"/>
      <c r="AG41" s="28"/>
      <c r="AH41" s="28"/>
      <c r="AI41" s="28"/>
      <c r="AJ41" s="28"/>
      <c r="AK41" s="28"/>
      <c r="AL41" s="28"/>
      <c r="AM41" s="28"/>
      <c r="AN41" s="28"/>
      <c r="AO41" s="28"/>
      <c r="AP41" s="28"/>
    </row>
    <row r="42" spans="2:42">
      <c r="B42" s="28"/>
      <c r="C42" s="28"/>
      <c r="J42" s="28"/>
      <c r="Y42" s="28"/>
      <c r="Z42" s="28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8"/>
      <c r="AM42" s="28"/>
      <c r="AN42" s="28"/>
      <c r="AO42" s="28"/>
      <c r="AP42" s="28"/>
    </row>
    <row r="43" spans="2:42">
      <c r="J43" s="28"/>
      <c r="K43" s="54" t="s">
        <v>423</v>
      </c>
      <c r="L43" s="53" t="s">
        <v>666</v>
      </c>
      <c r="M43" s="53">
        <v>3.0000000000000001E-3</v>
      </c>
      <c r="N43" s="53">
        <v>1E-3</v>
      </c>
      <c r="O43" s="53">
        <v>1.5E-3</v>
      </c>
      <c r="P43" s="53">
        <v>0.02</v>
      </c>
      <c r="Q43" s="53">
        <v>2.5000000000000001E-2</v>
      </c>
      <c r="R43" s="53">
        <v>3.0000000000000001E-3</v>
      </c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28"/>
      <c r="AO43" s="28"/>
      <c r="AP43" s="28"/>
    </row>
    <row r="44" spans="2:42" ht="45" customHeight="1">
      <c r="J44" s="104"/>
      <c r="K44" s="27"/>
      <c r="L44" s="53" t="s">
        <v>667</v>
      </c>
      <c r="M44" s="105">
        <f>($E$16*$C$16)/M43</f>
        <v>35.849978411239448</v>
      </c>
      <c r="N44" s="105">
        <f>($E$16*$C$16)/N43</f>
        <v>107.54993523371834</v>
      </c>
      <c r="O44" s="105">
        <f t="shared" ref="O44:R44" si="1">($E$16*$C$16)/O43</f>
        <v>71.699956822478896</v>
      </c>
      <c r="P44" s="105">
        <f t="shared" si="1"/>
        <v>5.3774967616859177</v>
      </c>
      <c r="Q44" s="105">
        <f t="shared" si="1"/>
        <v>4.3019974093487336</v>
      </c>
      <c r="R44" s="105">
        <f t="shared" si="1"/>
        <v>35.849978411239448</v>
      </c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28"/>
      <c r="AO44" s="28"/>
      <c r="AP44" s="28"/>
    </row>
    <row r="45" spans="2:42" ht="39" customHeight="1">
      <c r="J45" s="104"/>
      <c r="K45" s="27"/>
      <c r="L45" s="53" t="s">
        <v>667</v>
      </c>
      <c r="M45" s="105">
        <f>$G$16*$C$16/M43</f>
        <v>0</v>
      </c>
      <c r="N45" s="105">
        <f t="shared" ref="N45:R45" si="2">$G$16*$C$16/N43</f>
        <v>0</v>
      </c>
      <c r="O45" s="105">
        <f t="shared" si="2"/>
        <v>0</v>
      </c>
      <c r="P45" s="105">
        <f t="shared" si="2"/>
        <v>0</v>
      </c>
      <c r="Q45" s="105">
        <f t="shared" si="2"/>
        <v>0</v>
      </c>
      <c r="R45" s="105">
        <f t="shared" si="2"/>
        <v>0</v>
      </c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28"/>
      <c r="AO45" s="28"/>
      <c r="AP45" s="28"/>
    </row>
    <row r="46" spans="2:42" ht="39" customHeight="1">
      <c r="J46" s="104"/>
      <c r="K46" s="27"/>
      <c r="L46" s="53" t="s">
        <v>667</v>
      </c>
      <c r="M46" s="105">
        <f>$F$16+($E$16*$C$16)/M43</f>
        <v>36.023395121729251</v>
      </c>
      <c r="N46" s="105">
        <f>$F$16+($E$16*$C$16)/N43</f>
        <v>107.72335194420815</v>
      </c>
      <c r="O46" s="105">
        <f t="shared" ref="O46:R46" si="3">$F$16+($E$16*$C$16)/O43</f>
        <v>71.873373532968699</v>
      </c>
      <c r="P46" s="105">
        <f t="shared" si="3"/>
        <v>5.5509134721757203</v>
      </c>
      <c r="Q46" s="105">
        <f t="shared" si="3"/>
        <v>4.4754141198385362</v>
      </c>
      <c r="R46" s="105">
        <f t="shared" si="3"/>
        <v>36.023395121729251</v>
      </c>
      <c r="Y46" s="28"/>
      <c r="Z46" s="28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8"/>
      <c r="AM46" s="28"/>
      <c r="AN46" s="28"/>
      <c r="AO46" s="28"/>
      <c r="AP46" s="28"/>
    </row>
    <row r="47" spans="2:42" ht="42" customHeight="1">
      <c r="J47" s="104"/>
      <c r="K47" s="27"/>
      <c r="L47" s="53" t="s">
        <v>667</v>
      </c>
      <c r="M47" s="105">
        <f>$H$16+(($G$16*$C$16)/M43)</f>
        <v>0.42706554732176233</v>
      </c>
      <c r="N47" s="105">
        <f t="shared" ref="N47:R47" si="4">$H$16+(($G$16*$C$16)/N43)</f>
        <v>0.42706554732176233</v>
      </c>
      <c r="O47" s="105">
        <f t="shared" si="4"/>
        <v>0.42706554732176233</v>
      </c>
      <c r="P47" s="105">
        <f t="shared" si="4"/>
        <v>0.42706554732176233</v>
      </c>
      <c r="Q47" s="105">
        <f t="shared" si="4"/>
        <v>0.42706554732176233</v>
      </c>
      <c r="R47" s="105">
        <f t="shared" si="4"/>
        <v>0.42706554732176233</v>
      </c>
      <c r="Y47" s="28"/>
      <c r="Z47" s="28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8"/>
      <c r="AM47" s="28"/>
      <c r="AN47" s="28"/>
      <c r="AO47" s="28"/>
      <c r="AP47" s="28"/>
    </row>
    <row r="48" spans="2:42" ht="39.75" customHeight="1">
      <c r="J48" s="104"/>
      <c r="K48" s="27"/>
      <c r="L48" s="53" t="s">
        <v>667</v>
      </c>
      <c r="M48" s="105">
        <f>(M46^2+M47^2)^0.5</f>
        <v>36.02592651241514</v>
      </c>
      <c r="N48" s="105">
        <f>(N46^2+N47^2)^0.5</f>
        <v>107.72419848426557</v>
      </c>
      <c r="O48" s="105">
        <f t="shared" ref="O48:R48" si="5">(O46^2+O47^2)^0.5</f>
        <v>71.874642315571592</v>
      </c>
      <c r="P48" s="105">
        <f t="shared" si="5"/>
        <v>5.567317608803287</v>
      </c>
      <c r="Q48" s="105">
        <f t="shared" si="5"/>
        <v>4.4957442682785436</v>
      </c>
      <c r="R48" s="105">
        <f t="shared" si="5"/>
        <v>36.02592651241514</v>
      </c>
      <c r="Y48" s="28"/>
      <c r="Z48" s="28"/>
      <c r="AA48" s="28"/>
      <c r="AB48" s="28"/>
      <c r="AC48" s="28"/>
      <c r="AD48" s="28"/>
      <c r="AE48" s="28"/>
      <c r="AF48" s="28"/>
      <c r="AG48" s="28"/>
      <c r="AH48" s="28"/>
      <c r="AI48" s="28"/>
      <c r="AJ48" s="28"/>
      <c r="AK48" s="28"/>
      <c r="AL48" s="28"/>
      <c r="AM48" s="28"/>
      <c r="AN48" s="28"/>
      <c r="AO48" s="28"/>
      <c r="AP48" s="28"/>
    </row>
    <row r="49" spans="10:42" ht="41.25" customHeight="1">
      <c r="J49" s="104"/>
      <c r="K49" s="27"/>
      <c r="L49" s="53" t="s">
        <v>63</v>
      </c>
      <c r="M49" s="105">
        <f>'Раздел (1-11)'!$D$6/M48</f>
        <v>10.547959116861175</v>
      </c>
      <c r="N49" s="105">
        <f>'Раздел (1-11)'!$D$6/N48</f>
        <v>3.5275268263472261</v>
      </c>
      <c r="O49" s="105">
        <f>'Раздел (1-11)'!$D$6/O48</f>
        <v>5.2869828322981895</v>
      </c>
      <c r="P49" s="105">
        <f>'Раздел (1-11)'!$D$6/P48</f>
        <v>68.255491549310449</v>
      </c>
      <c r="Q49" s="105">
        <f>'Раздел (1-11)'!$D$6/Q48</f>
        <v>84.524380686249543</v>
      </c>
      <c r="R49" s="105">
        <f>'Раздел (1-11)'!$D$6/R48</f>
        <v>10.547959116861175</v>
      </c>
      <c r="Y49" s="28"/>
      <c r="Z49" s="28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8"/>
      <c r="AM49" s="28"/>
      <c r="AN49" s="28"/>
      <c r="AO49" s="28"/>
      <c r="AP49" s="28"/>
    </row>
    <row r="50" spans="10:42" ht="39.75" customHeight="1">
      <c r="J50" s="104"/>
      <c r="K50" s="27"/>
      <c r="L50" s="53" t="s">
        <v>640</v>
      </c>
      <c r="M50" s="105">
        <f>M46/M48</f>
        <v>0.9999297341961485</v>
      </c>
      <c r="N50" s="105">
        <f t="shared" ref="N50:R50" si="6">N46/N48</f>
        <v>0.99999214159799432</v>
      </c>
      <c r="O50" s="105">
        <f t="shared" si="6"/>
        <v>0.99998234728463309</v>
      </c>
      <c r="P50" s="105">
        <f t="shared" si="6"/>
        <v>0.99705349366064044</v>
      </c>
      <c r="Q50" s="105">
        <f t="shared" si="6"/>
        <v>0.99547791261539176</v>
      </c>
      <c r="R50" s="105">
        <f t="shared" si="6"/>
        <v>0.9999297341961485</v>
      </c>
      <c r="Y50" s="28"/>
      <c r="Z50" s="28"/>
      <c r="AA50" s="28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28"/>
      <c r="AM50" s="28"/>
      <c r="AN50" s="28"/>
      <c r="AO50" s="28"/>
      <c r="AP50" s="28"/>
    </row>
    <row r="51" spans="10:42" ht="42" customHeight="1">
      <c r="J51" s="104"/>
      <c r="K51" s="27"/>
      <c r="L51" s="53" t="s">
        <v>640</v>
      </c>
      <c r="M51" s="105">
        <f>M47/M48</f>
        <v>1.1854394561499712E-2</v>
      </c>
      <c r="N51" s="105">
        <f t="shared" ref="N51:R51" si="7">N47/N48</f>
        <v>3.9644346704899407E-3</v>
      </c>
      <c r="O51" s="105">
        <f t="shared" si="7"/>
        <v>5.9418110972531248E-3</v>
      </c>
      <c r="P51" s="105">
        <f t="shared" si="7"/>
        <v>7.67093917269005E-2</v>
      </c>
      <c r="Q51" s="105">
        <f t="shared" si="7"/>
        <v>9.4993291841595148E-2</v>
      </c>
      <c r="R51" s="105">
        <f t="shared" si="7"/>
        <v>1.1854394561499712E-2</v>
      </c>
      <c r="Y51" s="28"/>
      <c r="Z51" s="28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8"/>
      <c r="AM51" s="28"/>
      <c r="AN51" s="28"/>
      <c r="AO51" s="28"/>
      <c r="AP51" s="28"/>
    </row>
    <row r="52" spans="10:42" ht="40.5" customHeight="1">
      <c r="J52" s="104"/>
      <c r="K52" s="27"/>
      <c r="L52" s="53" t="s">
        <v>63</v>
      </c>
      <c r="M52" s="105">
        <f t="shared" ref="M52:R52" si="8">$G$12+$M$49*M50</f>
        <v>11.812109354984532</v>
      </c>
      <c r="N52" s="105">
        <f t="shared" si="8"/>
        <v>11.81276762570779</v>
      </c>
      <c r="O52" s="105">
        <f t="shared" si="8"/>
        <v>11.812664315690879</v>
      </c>
      <c r="P52" s="105">
        <f t="shared" si="8"/>
        <v>11.781770887405735</v>
      </c>
      <c r="Q52" s="105">
        <f t="shared" si="8"/>
        <v>11.765151722955149</v>
      </c>
      <c r="R52" s="105">
        <f t="shared" si="8"/>
        <v>11.812109354984532</v>
      </c>
      <c r="Y52" s="28"/>
      <c r="Z52" s="28"/>
      <c r="AA52" s="28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28"/>
      <c r="AM52" s="28"/>
      <c r="AN52" s="28"/>
      <c r="AO52" s="28"/>
      <c r="AP52" s="28"/>
    </row>
    <row r="53" spans="10:42" ht="50.25" customHeight="1">
      <c r="J53" s="104"/>
      <c r="K53" s="27"/>
      <c r="L53" s="53" t="s">
        <v>63</v>
      </c>
      <c r="M53" s="105">
        <f>$H$12+'Раздел (1-11)'!$D$134*M51</f>
        <v>8.9466680815964388</v>
      </c>
      <c r="N53" s="105">
        <f>$H$12+'Раздел (1-11)'!$D$134*N51</f>
        <v>6.418033791104647</v>
      </c>
      <c r="O53" s="105">
        <f>$H$12+'Раздел (1-11)'!$D$134*O51</f>
        <v>7.0517584116341947</v>
      </c>
      <c r="P53" s="105">
        <f>$H$12+'Раздел (1-11)'!$D$134*P51</f>
        <v>29.731890314353823</v>
      </c>
      <c r="Q53" s="105">
        <f>$H$12+'Раздел (1-11)'!$D$134*Q51</f>
        <v>35.591653536550211</v>
      </c>
      <c r="R53" s="105">
        <f>$H$12+'Раздел (1-11)'!$D$134*R51</f>
        <v>8.9466680815964388</v>
      </c>
      <c r="Y53" s="28"/>
      <c r="Z53" s="28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8"/>
      <c r="AM53" s="28"/>
      <c r="AN53" s="28"/>
      <c r="AO53" s="28"/>
      <c r="AP53" s="28"/>
    </row>
    <row r="54" spans="10:42" ht="51.75" customHeight="1">
      <c r="J54" s="104"/>
      <c r="K54" s="27"/>
      <c r="L54" s="53" t="s">
        <v>63</v>
      </c>
      <c r="M54" s="105">
        <f>(M52^2+M53^2)^0.5</f>
        <v>14.817854000372982</v>
      </c>
      <c r="N54" s="105">
        <f t="shared" ref="N54:R54" si="9">(N52^2+N53^2)^0.5</f>
        <v>13.443683897010192</v>
      </c>
      <c r="O54" s="105">
        <f t="shared" si="9"/>
        <v>13.757410182561626</v>
      </c>
      <c r="P54" s="105">
        <f t="shared" si="9"/>
        <v>31.981173007069142</v>
      </c>
      <c r="Q54" s="105">
        <f t="shared" si="9"/>
        <v>37.485791928809263</v>
      </c>
      <c r="R54" s="105">
        <f t="shared" si="9"/>
        <v>14.817854000372982</v>
      </c>
      <c r="Y54" s="28"/>
      <c r="Z54" s="28"/>
      <c r="AA54" s="28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28"/>
      <c r="AM54" s="28"/>
      <c r="AN54" s="28"/>
      <c r="AO54" s="28"/>
      <c r="AP54" s="28"/>
    </row>
    <row r="55" spans="10:42" ht="39" customHeight="1">
      <c r="J55" s="104"/>
      <c r="K55" s="27"/>
      <c r="L55" s="53" t="s">
        <v>63</v>
      </c>
      <c r="M55" s="105">
        <f>$D$16*M49</f>
        <v>10.608582112601225</v>
      </c>
      <c r="N55" s="105">
        <f t="shared" ref="N55:R55" si="10">$D$16*N49</f>
        <v>3.547800818822672</v>
      </c>
      <c r="O55" s="105">
        <f t="shared" si="10"/>
        <v>5.3173690647597631</v>
      </c>
      <c r="P55" s="105">
        <f t="shared" si="10"/>
        <v>68.647780932269313</v>
      </c>
      <c r="Q55" s="105">
        <f t="shared" si="10"/>
        <v>85.010173351304687</v>
      </c>
      <c r="R55" s="105">
        <f t="shared" si="10"/>
        <v>10.608582112601225</v>
      </c>
      <c r="Y55" s="28"/>
      <c r="Z55" s="28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8"/>
      <c r="AM55" s="28"/>
      <c r="AN55" s="28"/>
      <c r="AO55" s="28"/>
      <c r="AP55" s="28"/>
    </row>
    <row r="56" spans="10:42" ht="45" customHeight="1">
      <c r="J56" s="104"/>
      <c r="K56" s="27"/>
      <c r="L56" s="53" t="s">
        <v>668</v>
      </c>
      <c r="M56" s="105">
        <f>(3*'Раздел (1-11)'!$D$6*M52)</f>
        <v>13465.804664682366</v>
      </c>
      <c r="N56" s="105">
        <f>(3*'Раздел (1-11)'!$D$6*N52)</f>
        <v>13466.555093306881</v>
      </c>
      <c r="O56" s="105">
        <f>(3*'Раздел (1-11)'!$D$6*O52)</f>
        <v>13466.437319887602</v>
      </c>
      <c r="P56" s="105">
        <f>(3*'Раздел (1-11)'!$D$6*P52)</f>
        <v>13431.218811642537</v>
      </c>
      <c r="Q56" s="105">
        <f>(3*'Раздел (1-11)'!$D$6*Q52)</f>
        <v>13412.272964168871</v>
      </c>
      <c r="R56" s="105">
        <f>(3*'Раздел (1-11)'!$D$6*R52)</f>
        <v>13465.804664682366</v>
      </c>
      <c r="Y56" s="28"/>
      <c r="Z56" s="28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8"/>
      <c r="AM56" s="28"/>
      <c r="AN56" s="28"/>
      <c r="AO56" s="28"/>
      <c r="AP56" s="28"/>
    </row>
    <row r="57" spans="10:42" ht="43.5" customHeight="1">
      <c r="J57" s="104"/>
      <c r="K57" s="27"/>
      <c r="L57" s="53" t="s">
        <v>668</v>
      </c>
      <c r="M57" s="105">
        <f>(3*(M54^2)*$B$16)</f>
        <v>113.57792156057619</v>
      </c>
      <c r="N57" s="105">
        <f t="shared" ref="N57:R57" si="11">(3*(N54^2)*$B$16)</f>
        <v>93.488863176865124</v>
      </c>
      <c r="O57" s="105">
        <f t="shared" si="11"/>
        <v>97.903150262339651</v>
      </c>
      <c r="P57" s="105">
        <f t="shared" si="11"/>
        <v>529.0687031298495</v>
      </c>
      <c r="Q57" s="105">
        <f t="shared" si="11"/>
        <v>726.8698828577833</v>
      </c>
      <c r="R57" s="105">
        <f t="shared" si="11"/>
        <v>113.57792156057619</v>
      </c>
    </row>
    <row r="58" spans="10:42" ht="49.5" customHeight="1">
      <c r="J58" s="104"/>
      <c r="K58" s="27"/>
      <c r="L58" s="53" t="s">
        <v>668</v>
      </c>
      <c r="M58" s="105">
        <f>(3*(M55^2)*$C$16)</f>
        <v>35.897837192388046</v>
      </c>
      <c r="N58" s="105">
        <f t="shared" ref="N58:R58" si="12">(3*(N55^2)*$C$16)</f>
        <v>4.0148752762477846</v>
      </c>
      <c r="O58" s="105">
        <f t="shared" si="12"/>
        <v>9.0187678558002045</v>
      </c>
      <c r="P58" s="105">
        <f t="shared" si="12"/>
        <v>1503.1648274579327</v>
      </c>
      <c r="Q58" s="105">
        <f t="shared" si="12"/>
        <v>2305.1298925486158</v>
      </c>
      <c r="R58" s="105">
        <f t="shared" si="12"/>
        <v>35.897837192388046</v>
      </c>
    </row>
    <row r="59" spans="10:42" ht="65.25" customHeight="1">
      <c r="J59" s="104"/>
      <c r="K59" s="27"/>
      <c r="L59" s="53" t="s">
        <v>668</v>
      </c>
      <c r="M59" s="105">
        <f>('Раздел (1-11)'!$D$301*(M54/$J$12))</f>
        <v>74.326355665870878</v>
      </c>
      <c r="N59" s="105">
        <f>('Раздел (1-11)'!$D$301*(N54/$J$12))</f>
        <v>67.433518427403129</v>
      </c>
      <c r="O59" s="105">
        <f>('Раздел (1-11)'!$D$301*(O54/$J$12))</f>
        <v>69.007169475729128</v>
      </c>
      <c r="P59" s="105">
        <f>('Раздел (1-11)'!$D$301*(P54/$J$12))</f>
        <v>160.41756380345885</v>
      </c>
      <c r="Q59" s="105">
        <f>('Раздел (1-11)'!$D$301*(Q54/$J$12))</f>
        <v>188.02873231490727</v>
      </c>
      <c r="R59" s="105">
        <f>('Раздел (1-11)'!$D$301*(R54/$J$12))</f>
        <v>74.326355665870878</v>
      </c>
    </row>
    <row r="60" spans="10:42" ht="60.75" customHeight="1">
      <c r="J60" s="104"/>
      <c r="K60" s="27"/>
      <c r="L60" s="53" t="s">
        <v>668</v>
      </c>
      <c r="M60" s="105">
        <f>'Раздел (1-11)'!$D$261+'Раздел (1-11)'!$D$296+M57+M58+M59</f>
        <v>4607.8336586450205</v>
      </c>
      <c r="N60" s="105">
        <f>'Раздел (1-11)'!$D$261+'Раздел (1-11)'!$D$296+N57+N58+N59</f>
        <v>4548.9688011067019</v>
      </c>
      <c r="O60" s="105">
        <f>'Раздел (1-11)'!$D$261+'Раздел (1-11)'!$D$296+O57+O58+O59</f>
        <v>4559.960631820054</v>
      </c>
      <c r="P60" s="105">
        <f>'Раздел (1-11)'!$D$261+'Раздел (1-11)'!$D$296+P57+P58+P59</f>
        <v>6576.6826386174262</v>
      </c>
      <c r="Q60" s="105">
        <f>'Раздел (1-11)'!$D$261+'Раздел (1-11)'!$D$296+Q57+Q58+Q59</f>
        <v>7604.060051947491</v>
      </c>
      <c r="R60" s="105">
        <f>'Раздел (1-11)'!$D$261+'Раздел (1-11)'!$D$296+R57+R58+R59</f>
        <v>4607.8336586450205</v>
      </c>
    </row>
    <row r="61" spans="10:42" ht="42" customHeight="1">
      <c r="J61" s="104"/>
      <c r="K61" s="27"/>
      <c r="L61" s="53" t="s">
        <v>668</v>
      </c>
      <c r="M61" s="105">
        <f>M56-M60</f>
        <v>8857.9710060373454</v>
      </c>
      <c r="N61" s="105">
        <f t="shared" ref="N61:R61" si="13">N56-N60</f>
        <v>8917.5862922001797</v>
      </c>
      <c r="O61" s="105">
        <f t="shared" si="13"/>
        <v>8906.4766880675488</v>
      </c>
      <c r="P61" s="105">
        <f t="shared" si="13"/>
        <v>6854.5361730251107</v>
      </c>
      <c r="Q61" s="105">
        <f t="shared" si="13"/>
        <v>5808.2129122213801</v>
      </c>
      <c r="R61" s="105">
        <f t="shared" si="13"/>
        <v>8857.9710060373454</v>
      </c>
    </row>
    <row r="62" spans="10:42" ht="33" customHeight="1">
      <c r="J62" s="104"/>
      <c r="K62" s="27"/>
      <c r="L62" s="53" t="s">
        <v>640</v>
      </c>
      <c r="M62" s="105">
        <f>1-(M60/M56)</f>
        <v>0.6578122308033858</v>
      </c>
      <c r="N62" s="105">
        <f t="shared" ref="N62:R62" si="14">1-(N60/N56)</f>
        <v>0.66220248834331641</v>
      </c>
      <c r="O62" s="105">
        <f t="shared" si="14"/>
        <v>0.66138329511356508</v>
      </c>
      <c r="P62" s="105">
        <f t="shared" si="14"/>
        <v>0.51034357113469231</v>
      </c>
      <c r="Q62" s="105">
        <f t="shared" si="14"/>
        <v>0.43305209547539969</v>
      </c>
      <c r="R62" s="105">
        <f t="shared" si="14"/>
        <v>0.6578122308033858</v>
      </c>
    </row>
    <row r="63" spans="10:42" ht="42.75" customHeight="1">
      <c r="J63" s="104"/>
      <c r="K63" s="27"/>
      <c r="L63" s="53" t="s">
        <v>640</v>
      </c>
      <c r="M63" s="105">
        <f>M52/M54</f>
        <v>0.7971538493149688</v>
      </c>
      <c r="N63" s="105">
        <f t="shared" ref="N63:R63" si="15">N52/N54</f>
        <v>0.87868531543908812</v>
      </c>
      <c r="O63" s="105">
        <f t="shared" si="15"/>
        <v>0.85864011895670356</v>
      </c>
      <c r="P63" s="105">
        <f t="shared" si="15"/>
        <v>0.36839708427209605</v>
      </c>
      <c r="Q63" s="105">
        <f t="shared" si="15"/>
        <v>0.31385629374720986</v>
      </c>
      <c r="R63" s="105">
        <f t="shared" si="15"/>
        <v>0.7971538493149688</v>
      </c>
    </row>
  </sheetData>
  <pageMargins left="0.7" right="0.7" top="0.75" bottom="0.75" header="0.3" footer="0.3"/>
  <pageSetup paperSize="9" orientation="portrait" horizontalDpi="4294967293" verticalDpi="0" r:id="rId1"/>
  <drawing r:id="rId2"/>
  <legacyDrawing r:id="rId3"/>
  <oleObjects>
    <oleObject progId="Equation.DSMT4" shapeId="2049" r:id="rId4"/>
    <oleObject progId="Equation.DSMT4" shapeId="2050" r:id="rId5"/>
    <oleObject progId="Equation.DSMT4" shapeId="2051" r:id="rId6"/>
    <oleObject progId="Equation.DSMT4" shapeId="2052" r:id="rId7"/>
    <oleObject progId="Equation.DSMT4" shapeId="2054" r:id="rId8"/>
    <oleObject progId="Equation.DSMT4" shapeId="2055" r:id="rId9"/>
    <oleObject progId="Equation.DSMT4" shapeId="2056" r:id="rId10"/>
    <oleObject progId="Equation.DSMT4" shapeId="2057" r:id="rId11"/>
    <oleObject progId="Equation.DSMT4" shapeId="2058" r:id="rId12"/>
    <oleObject progId="Equation.DSMT4" shapeId="2059" r:id="rId13"/>
    <oleObject progId="Equation.DSMT4" shapeId="2060" r:id="rId14"/>
    <oleObject progId="Equation.DSMT4" shapeId="2061" r:id="rId15"/>
    <oleObject progId="Equation.DSMT4" shapeId="2062" r:id="rId16"/>
    <oleObject progId="Equation.DSMT4" shapeId="2063" r:id="rId17"/>
    <oleObject progId="Equation.DSMT4" shapeId="2064" r:id="rId18"/>
    <oleObject progId="Equation.DSMT4" shapeId="2065" r:id="rId19"/>
    <oleObject progId="Equation.DSMT4" shapeId="2066" r:id="rId20"/>
    <oleObject progId="Equation.DSMT4" shapeId="2068" r:id="rId21"/>
    <oleObject progId="Equation.DSMT4" shapeId="2069" r:id="rId22"/>
    <oleObject progId="Equation.DSMT4" shapeId="2080" r:id="rId23"/>
    <oleObject progId="Equation.DSMT4" shapeId="2081" r:id="rId24"/>
    <oleObject progId="Equation.DSMT4" shapeId="2082" r:id="rId25"/>
    <oleObject progId="Equation.DSMT4" shapeId="2083" r:id="rId26"/>
    <oleObject progId="Equation.DSMT4" shapeId="2084" r:id="rId27"/>
    <oleObject progId="Equation.DSMT4" shapeId="2085" r:id="rId28"/>
    <oleObject progId="Equation.DSMT4" shapeId="2086" r:id="rId29"/>
    <oleObject progId="Equation.DSMT4" shapeId="2087" r:id="rId30"/>
    <oleObject progId="Equation.DSMT4" shapeId="2088" r:id="rId31"/>
    <oleObject progId="Equation.DSMT4" shapeId="2089" r:id="rId32"/>
    <oleObject progId="Equation.DSMT4" shapeId="2090" r:id="rId33"/>
    <oleObject progId="Equation.DSMT4" shapeId="2091" r:id="rId34"/>
    <oleObject progId="Equation.DSMT4" shapeId="2092" r:id="rId35"/>
    <oleObject progId="Equation.DSMT4" shapeId="2093" r:id="rId36"/>
    <oleObject progId="Equation.DSMT4" shapeId="2094" r:id="rId37"/>
    <oleObject progId="Equation.DSMT4" shapeId="2095" r:id="rId38"/>
    <oleObject progId="Equation.DSMT4" shapeId="2096" r:id="rId39"/>
    <oleObject progId="Equation.DSMT4" shapeId="2097" r:id="rId40"/>
    <oleObject progId="Equation.DSMT4" shapeId="2100" r:id="rId41"/>
    <oleObject progId="Equation.DSMT4" shapeId="2101" r:id="rId42"/>
    <oleObject progId="Equation.DSMT4" shapeId="2102" r:id="rId43"/>
    <oleObject progId="Equation.DSMT4" shapeId="2103" r:id="rId44"/>
    <oleObject progId="Equation.DSMT4" shapeId="2105" r:id="rId45"/>
    <oleObject progId="Equation.DSMT4" shapeId="2106" r:id="rId46"/>
    <oleObject progId="Equation.DSMT4" shapeId="2107" r:id="rId47"/>
    <oleObject progId="Equation.DSMT4" shapeId="2109" r:id="rId48"/>
    <oleObject progId="Equation.DSMT4" shapeId="2110" r:id="rId49"/>
    <oleObject progId="Equation.DSMT4" shapeId="2111" r:id="rId50"/>
    <oleObject progId="Equation.DSMT4" shapeId="2114" r:id="rId51"/>
    <oleObject progId="Equation.DSMT4" shapeId="2115" r:id="rId52"/>
    <oleObject progId="Equation.DSMT4" shapeId="2116" r:id="rId53"/>
    <oleObject progId="Equation.DSMT4" shapeId="2117" r:id="rId54"/>
    <oleObject progId="Equation.DSMT4" shapeId="2118" r:id="rId55"/>
    <oleObject progId="Equation.DSMT4" shapeId="2119" r:id="rId56"/>
    <oleObject progId="Equation.DSMT4" shapeId="2125" r:id="rId57"/>
  </oleObjects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topLeftCell="A19" zoomScale="85" zoomScaleNormal="85" workbookViewId="0">
      <selection activeCell="AC18" sqref="AC18"/>
    </sheetView>
  </sheetViews>
  <sheetFormatPr defaultRowHeight="1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3:BN234"/>
  <sheetViews>
    <sheetView zoomScale="25" zoomScaleNormal="25" workbookViewId="0">
      <selection activeCell="BF101" sqref="BF101"/>
    </sheetView>
  </sheetViews>
  <sheetFormatPr defaultRowHeight="15"/>
  <cols>
    <col min="1" max="1" width="9.140625" style="68"/>
    <col min="2" max="2" width="26.7109375" style="69" bestFit="1" customWidth="1"/>
    <col min="3" max="3" width="10" style="68" bestFit="1" customWidth="1"/>
    <col min="4" max="5" width="9.140625" style="68"/>
    <col min="6" max="6" width="11.5703125" style="68" bestFit="1" customWidth="1"/>
    <col min="7" max="18" width="9.140625" style="68"/>
    <col min="19" max="19" width="11.42578125" style="68" bestFit="1" customWidth="1"/>
    <col min="20" max="25" width="9.140625" style="68"/>
    <col min="26" max="26" width="8.85546875" style="68" bestFit="1" customWidth="1"/>
    <col min="27" max="28" width="9.140625" style="68"/>
    <col min="29" max="29" width="26" style="92" bestFit="1" customWidth="1"/>
    <col min="30" max="42" width="9.140625" style="68"/>
    <col min="43" max="43" width="25.7109375" style="68" bestFit="1" customWidth="1"/>
    <col min="44" max="55" width="9.140625" style="68"/>
    <col min="56" max="56" width="26.140625" style="68" bestFit="1" customWidth="1"/>
    <col min="57" max="16384" width="9.140625" style="68"/>
  </cols>
  <sheetData>
    <row r="3" spans="1:9">
      <c r="A3" s="66"/>
      <c r="B3" s="67"/>
      <c r="C3" s="66"/>
      <c r="D3" s="66"/>
      <c r="E3" s="66"/>
      <c r="F3" s="66"/>
      <c r="G3" s="66"/>
      <c r="H3" s="66"/>
      <c r="I3" s="66"/>
    </row>
    <row r="4" spans="1:9">
      <c r="A4" s="66"/>
      <c r="B4" s="67"/>
      <c r="C4" s="66"/>
      <c r="D4" s="66"/>
      <c r="E4" s="66"/>
      <c r="F4" s="66"/>
      <c r="G4" s="66"/>
      <c r="H4" s="66"/>
      <c r="I4" s="66"/>
    </row>
    <row r="5" spans="1:9">
      <c r="A5" s="66"/>
      <c r="B5" s="67"/>
      <c r="C5" s="66"/>
      <c r="D5" s="66"/>
      <c r="E5" s="66"/>
      <c r="F5" s="66"/>
      <c r="G5" s="66"/>
      <c r="H5" s="66"/>
      <c r="I5" s="66"/>
    </row>
    <row r="6" spans="1:9">
      <c r="A6" s="66"/>
      <c r="B6" s="67"/>
      <c r="C6" s="66"/>
      <c r="D6" s="66"/>
      <c r="E6" s="66"/>
      <c r="F6" s="66"/>
      <c r="G6" s="66"/>
      <c r="H6" s="66"/>
      <c r="I6" s="66"/>
    </row>
    <row r="7" spans="1:9">
      <c r="A7" s="66"/>
      <c r="B7" s="67"/>
      <c r="C7" s="66"/>
      <c r="D7" s="66"/>
      <c r="E7" s="66"/>
      <c r="F7" s="66"/>
      <c r="G7" s="66"/>
      <c r="H7" s="66"/>
      <c r="I7" s="66"/>
    </row>
    <row r="8" spans="1:9">
      <c r="A8" s="66"/>
      <c r="B8" s="67"/>
      <c r="C8" s="66"/>
      <c r="D8" s="66"/>
      <c r="E8" s="66"/>
      <c r="F8" s="66"/>
      <c r="G8" s="66"/>
      <c r="H8" s="66"/>
      <c r="I8" s="66"/>
    </row>
    <row r="9" spans="1:9">
      <c r="A9" s="66"/>
      <c r="B9" s="67"/>
      <c r="C9" s="66"/>
      <c r="D9" s="66"/>
      <c r="E9" s="66"/>
      <c r="F9" s="66"/>
      <c r="G9" s="66"/>
      <c r="H9" s="66"/>
      <c r="I9" s="66"/>
    </row>
    <row r="10" spans="1:9">
      <c r="A10" s="66"/>
      <c r="B10" s="67"/>
      <c r="C10" s="66"/>
      <c r="D10" s="66"/>
      <c r="E10" s="66"/>
      <c r="F10" s="66"/>
      <c r="G10" s="66"/>
      <c r="H10" s="66"/>
      <c r="I10" s="66"/>
    </row>
    <row r="11" spans="1:9">
      <c r="A11" s="66"/>
      <c r="B11" s="67"/>
      <c r="C11" s="66"/>
      <c r="D11" s="66"/>
      <c r="E11" s="66"/>
      <c r="F11" s="66"/>
      <c r="G11" s="66"/>
      <c r="H11" s="66"/>
      <c r="I11" s="66"/>
    </row>
    <row r="12" spans="1:9">
      <c r="A12" s="66"/>
      <c r="B12" s="67"/>
      <c r="C12" s="66"/>
      <c r="D12" s="66"/>
      <c r="E12" s="66"/>
      <c r="F12" s="66"/>
      <c r="G12" s="66"/>
      <c r="H12" s="66"/>
      <c r="I12" s="66"/>
    </row>
    <row r="13" spans="1:9">
      <c r="A13" s="66"/>
      <c r="B13" s="67"/>
      <c r="C13" s="66"/>
      <c r="D13" s="66"/>
      <c r="E13" s="66"/>
      <c r="F13" s="66"/>
      <c r="G13" s="66"/>
      <c r="H13" s="66"/>
      <c r="I13" s="66"/>
    </row>
    <row r="14" spans="1:9">
      <c r="A14" s="66"/>
      <c r="B14" s="67"/>
      <c r="C14" s="66"/>
      <c r="D14" s="66"/>
      <c r="E14" s="66"/>
      <c r="F14" s="66"/>
      <c r="G14" s="66"/>
      <c r="H14" s="66"/>
      <c r="I14" s="66"/>
    </row>
    <row r="15" spans="1:9">
      <c r="A15" s="66"/>
      <c r="B15" s="67"/>
      <c r="C15" s="66"/>
      <c r="D15" s="66"/>
      <c r="E15" s="66"/>
      <c r="F15" s="66"/>
      <c r="G15" s="66"/>
      <c r="H15" s="66"/>
      <c r="I15" s="66"/>
    </row>
    <row r="16" spans="1:9">
      <c r="A16" s="66"/>
      <c r="B16" s="67"/>
      <c r="C16" s="66"/>
      <c r="D16" s="66"/>
      <c r="E16" s="66"/>
      <c r="F16" s="66"/>
      <c r="G16" s="66"/>
      <c r="H16" s="66"/>
      <c r="I16" s="66"/>
    </row>
    <row r="17" spans="1:9">
      <c r="A17" s="66"/>
      <c r="B17" s="67"/>
      <c r="C17" s="66"/>
      <c r="D17" s="66"/>
      <c r="E17" s="66"/>
      <c r="F17" s="66"/>
      <c r="G17" s="66"/>
      <c r="H17" s="66"/>
      <c r="I17" s="66"/>
    </row>
    <row r="18" spans="1:9">
      <c r="A18" s="66"/>
      <c r="B18" s="67"/>
      <c r="C18" s="66"/>
      <c r="D18" s="66"/>
      <c r="E18" s="66"/>
      <c r="F18" s="66"/>
      <c r="G18" s="66"/>
      <c r="H18" s="66"/>
      <c r="I18" s="66"/>
    </row>
    <row r="19" spans="1:9">
      <c r="A19" s="66"/>
      <c r="B19" s="67"/>
      <c r="C19" s="66"/>
      <c r="D19" s="66"/>
      <c r="E19" s="66"/>
      <c r="F19" s="66"/>
      <c r="G19" s="66"/>
      <c r="H19" s="66"/>
      <c r="I19" s="66"/>
    </row>
    <row r="20" spans="1:9">
      <c r="A20" s="66"/>
      <c r="B20" s="67"/>
      <c r="C20" s="66"/>
      <c r="D20" s="66"/>
      <c r="E20" s="66"/>
      <c r="F20" s="66"/>
      <c r="G20" s="66"/>
      <c r="H20" s="66"/>
      <c r="I20" s="66"/>
    </row>
    <row r="21" spans="1:9">
      <c r="A21" s="66"/>
      <c r="B21" s="67"/>
      <c r="C21" s="66"/>
      <c r="D21" s="66"/>
      <c r="E21" s="66"/>
      <c r="F21" s="66"/>
      <c r="G21" s="66"/>
      <c r="H21" s="66"/>
      <c r="I21" s="66"/>
    </row>
    <row r="22" spans="1:9">
      <c r="A22" s="66"/>
      <c r="B22" s="67"/>
      <c r="C22" s="66"/>
      <c r="D22" s="66"/>
      <c r="E22" s="66"/>
      <c r="F22" s="66"/>
      <c r="G22" s="66"/>
      <c r="H22" s="66"/>
      <c r="I22" s="66"/>
    </row>
    <row r="23" spans="1:9">
      <c r="A23" s="66"/>
      <c r="B23" s="67"/>
      <c r="C23" s="66"/>
      <c r="D23" s="66"/>
      <c r="E23" s="66"/>
      <c r="F23" s="66"/>
      <c r="G23" s="66"/>
      <c r="H23" s="66"/>
      <c r="I23" s="66"/>
    </row>
    <row r="24" spans="1:9">
      <c r="A24" s="66"/>
      <c r="B24" s="67"/>
      <c r="C24" s="66"/>
      <c r="D24" s="66"/>
      <c r="E24" s="66"/>
      <c r="F24" s="66"/>
      <c r="G24" s="66"/>
      <c r="H24" s="66"/>
      <c r="I24" s="66"/>
    </row>
    <row r="25" spans="1:9">
      <c r="A25" s="66"/>
      <c r="B25" s="67"/>
      <c r="C25" s="66"/>
      <c r="D25" s="66"/>
      <c r="E25" s="66"/>
      <c r="F25" s="66"/>
      <c r="G25" s="66"/>
      <c r="H25" s="66"/>
      <c r="I25" s="66"/>
    </row>
    <row r="26" spans="1:9">
      <c r="A26" s="66"/>
      <c r="B26" s="67"/>
      <c r="C26" s="66"/>
      <c r="D26" s="66"/>
      <c r="E26" s="66"/>
      <c r="F26" s="66"/>
      <c r="G26" s="66"/>
      <c r="H26" s="66"/>
      <c r="I26" s="66"/>
    </row>
    <row r="27" spans="1:9">
      <c r="A27" s="66"/>
      <c r="B27" s="67"/>
      <c r="C27" s="66"/>
      <c r="D27" s="66"/>
      <c r="E27" s="66"/>
      <c r="F27" s="66"/>
      <c r="G27" s="66"/>
      <c r="H27" s="66"/>
      <c r="I27" s="66"/>
    </row>
    <row r="28" spans="1:9">
      <c r="A28" s="66"/>
      <c r="B28" s="67"/>
      <c r="C28" s="66"/>
      <c r="D28" s="66"/>
      <c r="E28" s="66"/>
      <c r="F28" s="66"/>
      <c r="G28" s="66"/>
      <c r="H28" s="66"/>
      <c r="I28" s="66"/>
    </row>
    <row r="29" spans="1:9">
      <c r="A29" s="66"/>
      <c r="B29" s="67"/>
      <c r="C29" s="66"/>
      <c r="D29" s="66"/>
      <c r="E29" s="66"/>
      <c r="F29" s="66"/>
      <c r="G29" s="66"/>
      <c r="H29" s="66"/>
      <c r="I29" s="66"/>
    </row>
    <row r="30" spans="1:9">
      <c r="A30" s="66"/>
      <c r="B30" s="67"/>
      <c r="C30" s="66"/>
      <c r="D30" s="66"/>
      <c r="E30" s="66"/>
      <c r="F30" s="66"/>
      <c r="G30" s="66"/>
      <c r="H30" s="66"/>
      <c r="I30" s="66"/>
    </row>
    <row r="31" spans="1:9">
      <c r="A31" s="66"/>
      <c r="B31" s="67"/>
      <c r="C31" s="66"/>
      <c r="D31" s="66"/>
      <c r="E31" s="66"/>
      <c r="F31" s="66"/>
      <c r="G31" s="66"/>
      <c r="H31" s="66"/>
      <c r="I31" s="66"/>
    </row>
    <row r="32" spans="1:9">
      <c r="A32" s="66"/>
      <c r="B32" s="67"/>
      <c r="C32" s="66"/>
      <c r="D32" s="66"/>
      <c r="E32" s="66"/>
      <c r="F32" s="66"/>
      <c r="G32" s="66"/>
      <c r="H32" s="66"/>
      <c r="I32" s="66"/>
    </row>
    <row r="33" spans="1:9">
      <c r="A33" s="66"/>
      <c r="B33" s="67"/>
      <c r="C33" s="66"/>
      <c r="D33" s="66"/>
      <c r="E33" s="66"/>
      <c r="F33" s="66"/>
      <c r="G33" s="66"/>
      <c r="H33" s="66"/>
      <c r="I33" s="66"/>
    </row>
    <row r="34" spans="1:9">
      <c r="A34" s="66"/>
      <c r="B34" s="67"/>
      <c r="C34" s="66"/>
      <c r="D34" s="66"/>
      <c r="E34" s="66"/>
      <c r="F34" s="66"/>
      <c r="G34" s="66"/>
      <c r="H34" s="66"/>
      <c r="I34" s="66"/>
    </row>
    <row r="35" spans="1:9">
      <c r="A35" s="66"/>
      <c r="B35" s="67"/>
      <c r="C35" s="66"/>
      <c r="D35" s="66"/>
      <c r="E35" s="66"/>
      <c r="F35" s="66"/>
      <c r="G35" s="66"/>
      <c r="H35" s="66"/>
      <c r="I35" s="66"/>
    </row>
    <row r="36" spans="1:9">
      <c r="A36" s="66"/>
      <c r="B36" s="67"/>
      <c r="C36" s="66"/>
      <c r="D36" s="66"/>
      <c r="E36" s="66"/>
      <c r="F36" s="66"/>
      <c r="G36" s="66"/>
      <c r="H36" s="66"/>
      <c r="I36" s="66"/>
    </row>
    <row r="37" spans="1:9">
      <c r="A37" s="66"/>
      <c r="B37" s="67"/>
      <c r="C37" s="66"/>
      <c r="D37" s="66"/>
      <c r="E37" s="66"/>
      <c r="F37" s="66"/>
      <c r="G37" s="66"/>
      <c r="H37" s="66"/>
      <c r="I37" s="66"/>
    </row>
    <row r="38" spans="1:9">
      <c r="A38" s="66"/>
      <c r="B38" s="67"/>
      <c r="C38" s="66"/>
      <c r="D38" s="66"/>
      <c r="E38" s="66"/>
      <c r="F38" s="66"/>
      <c r="G38" s="66"/>
      <c r="H38" s="66"/>
      <c r="I38" s="66"/>
    </row>
    <row r="39" spans="1:9">
      <c r="A39" s="66"/>
      <c r="B39" s="67"/>
      <c r="C39" s="66"/>
      <c r="D39" s="66"/>
      <c r="E39" s="66"/>
      <c r="F39" s="66"/>
      <c r="G39" s="66"/>
      <c r="H39" s="66"/>
      <c r="I39" s="66"/>
    </row>
    <row r="40" spans="1:9">
      <c r="A40" s="66"/>
      <c r="B40" s="67"/>
      <c r="C40" s="66"/>
      <c r="D40" s="66"/>
      <c r="E40" s="66"/>
      <c r="F40" s="66"/>
      <c r="G40" s="66"/>
      <c r="H40" s="66"/>
      <c r="I40" s="66"/>
    </row>
    <row r="41" spans="1:9">
      <c r="A41" s="66"/>
      <c r="B41" s="67"/>
      <c r="C41" s="66"/>
      <c r="D41" s="66"/>
      <c r="E41" s="66"/>
      <c r="F41" s="66"/>
      <c r="G41" s="66"/>
      <c r="H41" s="66"/>
      <c r="I41" s="66"/>
    </row>
    <row r="42" spans="1:9">
      <c r="A42" s="66"/>
      <c r="B42" s="67"/>
      <c r="C42" s="66"/>
      <c r="D42" s="66"/>
      <c r="E42" s="66"/>
      <c r="F42" s="66"/>
      <c r="G42" s="66"/>
      <c r="H42" s="66"/>
      <c r="I42" s="66"/>
    </row>
    <row r="66" spans="2:44" ht="15.75" thickBot="1"/>
    <row r="67" spans="2:44" ht="77.25" customHeight="1" thickBot="1">
      <c r="B67" s="70" t="s">
        <v>22</v>
      </c>
      <c r="C67" s="134" t="s">
        <v>427</v>
      </c>
      <c r="D67" s="137" t="s">
        <v>428</v>
      </c>
      <c r="E67" s="138"/>
      <c r="F67" s="138"/>
      <c r="G67" s="139"/>
      <c r="H67" s="146" t="s">
        <v>429</v>
      </c>
      <c r="I67" s="147"/>
      <c r="J67" s="147"/>
      <c r="K67" s="147"/>
      <c r="L67" s="147"/>
      <c r="M67" s="147"/>
      <c r="N67" s="148"/>
      <c r="O67" s="71"/>
      <c r="P67" s="71"/>
      <c r="Q67" s="71"/>
      <c r="R67" s="115" t="s">
        <v>466</v>
      </c>
      <c r="S67" s="115" t="s">
        <v>427</v>
      </c>
      <c r="T67" s="128" t="s">
        <v>467</v>
      </c>
      <c r="U67" s="129"/>
      <c r="V67" s="129"/>
      <c r="W67" s="129"/>
      <c r="X67" s="129"/>
      <c r="Y67" s="129"/>
      <c r="Z67" s="129"/>
      <c r="AA67" s="129"/>
      <c r="AB67" s="129"/>
      <c r="AC67" s="130"/>
      <c r="AG67" s="112" t="s">
        <v>466</v>
      </c>
      <c r="AH67" s="112" t="s">
        <v>427</v>
      </c>
      <c r="AI67" s="109" t="s">
        <v>467</v>
      </c>
      <c r="AJ67" s="110"/>
      <c r="AK67" s="110"/>
      <c r="AL67" s="110"/>
      <c r="AM67" s="110"/>
      <c r="AN67" s="110"/>
      <c r="AO67" s="110"/>
      <c r="AP67" s="110"/>
      <c r="AQ67" s="111"/>
      <c r="AR67" s="56" t="s">
        <v>486</v>
      </c>
    </row>
    <row r="68" spans="2:44" ht="21" thickBot="1">
      <c r="B68" s="72" t="s">
        <v>424</v>
      </c>
      <c r="C68" s="135"/>
      <c r="D68" s="140" t="s">
        <v>93</v>
      </c>
      <c r="E68" s="141"/>
      <c r="F68" s="141"/>
      <c r="G68" s="142"/>
      <c r="H68" s="149"/>
      <c r="I68" s="150"/>
      <c r="J68" s="150"/>
      <c r="K68" s="150"/>
      <c r="L68" s="150"/>
      <c r="M68" s="150"/>
      <c r="N68" s="151"/>
      <c r="O68" s="71"/>
      <c r="P68" s="71"/>
      <c r="Q68" s="71"/>
      <c r="R68" s="117"/>
      <c r="S68" s="127"/>
      <c r="T68" s="73" t="s">
        <v>474</v>
      </c>
      <c r="U68" s="73" t="s">
        <v>475</v>
      </c>
      <c r="V68" s="73" t="s">
        <v>476</v>
      </c>
      <c r="W68" s="73" t="s">
        <v>477</v>
      </c>
      <c r="X68" s="73" t="s">
        <v>478</v>
      </c>
      <c r="Y68" s="73" t="s">
        <v>479</v>
      </c>
      <c r="Z68" s="73" t="s">
        <v>480</v>
      </c>
      <c r="AA68" s="73" t="s">
        <v>481</v>
      </c>
      <c r="AB68" s="73" t="s">
        <v>482</v>
      </c>
      <c r="AC68" s="73" t="s">
        <v>468</v>
      </c>
      <c r="AG68" s="113"/>
      <c r="AH68" s="113"/>
      <c r="AI68" s="65" t="s">
        <v>488</v>
      </c>
      <c r="AJ68" s="65" t="s">
        <v>489</v>
      </c>
      <c r="AK68" s="65" t="s">
        <v>490</v>
      </c>
      <c r="AL68" s="65" t="s">
        <v>491</v>
      </c>
      <c r="AM68" s="65" t="s">
        <v>492</v>
      </c>
      <c r="AN68" s="65" t="s">
        <v>493</v>
      </c>
      <c r="AO68" s="65" t="s">
        <v>494</v>
      </c>
      <c r="AP68" s="65" t="s">
        <v>495</v>
      </c>
      <c r="AQ68" s="65" t="s">
        <v>496</v>
      </c>
      <c r="AR68" s="59" t="s">
        <v>487</v>
      </c>
    </row>
    <row r="69" spans="2:44" ht="39.75" customHeight="1" thickBot="1">
      <c r="B69" s="72" t="s">
        <v>425</v>
      </c>
      <c r="C69" s="135"/>
      <c r="D69" s="143"/>
      <c r="E69" s="144"/>
      <c r="F69" s="144"/>
      <c r="G69" s="145"/>
      <c r="H69" s="152"/>
      <c r="I69" s="153"/>
      <c r="J69" s="153"/>
      <c r="K69" s="153"/>
      <c r="L69" s="153"/>
      <c r="M69" s="153"/>
      <c r="N69" s="154"/>
      <c r="O69" s="71"/>
      <c r="P69" s="71"/>
      <c r="Q69" s="71"/>
      <c r="R69" s="74">
        <v>50</v>
      </c>
      <c r="S69" s="115">
        <v>2.4</v>
      </c>
      <c r="T69" s="115">
        <v>72</v>
      </c>
      <c r="U69" s="75" t="s">
        <v>440</v>
      </c>
      <c r="V69" s="75">
        <v>3</v>
      </c>
      <c r="W69" s="75">
        <v>3</v>
      </c>
      <c r="X69" s="75">
        <v>80</v>
      </c>
      <c r="Y69" s="75">
        <v>102</v>
      </c>
      <c r="Z69" s="75">
        <v>22</v>
      </c>
      <c r="AA69" s="115">
        <v>62</v>
      </c>
      <c r="AB69" s="115">
        <v>36</v>
      </c>
      <c r="AC69" s="75">
        <v>50</v>
      </c>
      <c r="AG69" s="57">
        <v>50</v>
      </c>
      <c r="AH69" s="112">
        <v>2.4</v>
      </c>
      <c r="AI69" s="59">
        <v>3</v>
      </c>
      <c r="AJ69" s="59">
        <v>3</v>
      </c>
      <c r="AK69" s="59">
        <v>10.199999999999999</v>
      </c>
      <c r="AL69" s="59">
        <v>6</v>
      </c>
      <c r="AM69" s="59">
        <v>124</v>
      </c>
      <c r="AN69" s="59">
        <v>9</v>
      </c>
      <c r="AO69" s="112">
        <v>5.8</v>
      </c>
      <c r="AP69" s="59">
        <v>9</v>
      </c>
      <c r="AQ69" s="59">
        <v>10.199999999999999</v>
      </c>
      <c r="AR69" s="59">
        <v>3.3</v>
      </c>
    </row>
    <row r="70" spans="2:44" ht="57.75" customHeight="1" thickBot="1">
      <c r="B70" s="76" t="s">
        <v>426</v>
      </c>
      <c r="C70" s="136"/>
      <c r="D70" s="77" t="s">
        <v>456</v>
      </c>
      <c r="E70" s="77" t="s">
        <v>456</v>
      </c>
      <c r="F70" s="77" t="s">
        <v>457</v>
      </c>
      <c r="G70" s="77" t="s">
        <v>458</v>
      </c>
      <c r="H70" s="77" t="s">
        <v>459</v>
      </c>
      <c r="I70" s="77" t="s">
        <v>460</v>
      </c>
      <c r="J70" s="77" t="s">
        <v>461</v>
      </c>
      <c r="K70" s="77" t="s">
        <v>462</v>
      </c>
      <c r="L70" s="77" t="s">
        <v>463</v>
      </c>
      <c r="M70" s="77" t="s">
        <v>464</v>
      </c>
      <c r="N70" s="77" t="s">
        <v>465</v>
      </c>
      <c r="R70" s="74">
        <v>56</v>
      </c>
      <c r="S70" s="117"/>
      <c r="T70" s="116"/>
      <c r="U70" s="75" t="s">
        <v>440</v>
      </c>
      <c r="V70" s="75">
        <v>4</v>
      </c>
      <c r="W70" s="75">
        <v>4</v>
      </c>
      <c r="X70" s="75">
        <v>90</v>
      </c>
      <c r="Y70" s="75">
        <v>116</v>
      </c>
      <c r="Z70" s="75">
        <v>23</v>
      </c>
      <c r="AA70" s="116"/>
      <c r="AB70" s="116"/>
      <c r="AC70" s="75">
        <v>56</v>
      </c>
      <c r="AG70" s="57">
        <v>56</v>
      </c>
      <c r="AH70" s="113"/>
      <c r="AI70" s="59">
        <v>4</v>
      </c>
      <c r="AJ70" s="59">
        <v>4</v>
      </c>
      <c r="AK70" s="59">
        <v>12.5</v>
      </c>
      <c r="AL70" s="112">
        <v>7</v>
      </c>
      <c r="AM70" s="59">
        <v>134</v>
      </c>
      <c r="AN70" s="59">
        <v>11</v>
      </c>
      <c r="AO70" s="113"/>
      <c r="AP70" s="59">
        <v>11</v>
      </c>
      <c r="AQ70" s="59">
        <v>12.5</v>
      </c>
      <c r="AR70" s="59">
        <v>4.5</v>
      </c>
    </row>
    <row r="71" spans="2:44" ht="19.5" thickBot="1">
      <c r="B71" s="76">
        <v>50</v>
      </c>
      <c r="C71" s="131" t="s">
        <v>430</v>
      </c>
      <c r="D71" s="77">
        <v>174</v>
      </c>
      <c r="E71" s="77">
        <v>198</v>
      </c>
      <c r="F71" s="77">
        <v>142</v>
      </c>
      <c r="G71" s="77">
        <v>112</v>
      </c>
      <c r="H71" s="77">
        <v>20</v>
      </c>
      <c r="I71" s="77">
        <v>20</v>
      </c>
      <c r="J71" s="77">
        <v>63</v>
      </c>
      <c r="K71" s="77">
        <v>77</v>
      </c>
      <c r="L71" s="78" t="s">
        <v>431</v>
      </c>
      <c r="M71" s="77">
        <v>32</v>
      </c>
      <c r="N71" s="77">
        <v>61</v>
      </c>
      <c r="O71" s="71"/>
      <c r="P71" s="71"/>
      <c r="Q71" s="71"/>
      <c r="R71" s="74">
        <v>63</v>
      </c>
      <c r="S71" s="75" t="s">
        <v>469</v>
      </c>
      <c r="T71" s="117"/>
      <c r="U71" s="75" t="s">
        <v>440</v>
      </c>
      <c r="V71" s="75">
        <v>5</v>
      </c>
      <c r="W71" s="75">
        <v>5</v>
      </c>
      <c r="X71" s="75">
        <v>100</v>
      </c>
      <c r="Y71" s="75">
        <v>129</v>
      </c>
      <c r="Z71" s="75">
        <v>27</v>
      </c>
      <c r="AA71" s="117"/>
      <c r="AB71" s="117"/>
      <c r="AC71" s="75">
        <v>63</v>
      </c>
      <c r="AG71" s="57">
        <v>63</v>
      </c>
      <c r="AH71" s="59" t="s">
        <v>469</v>
      </c>
      <c r="AI71" s="59">
        <v>5</v>
      </c>
      <c r="AJ71" s="59">
        <v>5</v>
      </c>
      <c r="AK71" s="59">
        <v>16</v>
      </c>
      <c r="AL71" s="113"/>
      <c r="AM71" s="59">
        <v>146</v>
      </c>
      <c r="AN71" s="59">
        <v>14</v>
      </c>
      <c r="AO71" s="112">
        <v>7</v>
      </c>
      <c r="AP71" s="59">
        <v>14</v>
      </c>
      <c r="AQ71" s="59">
        <v>16</v>
      </c>
      <c r="AR71" s="59">
        <v>6.3</v>
      </c>
    </row>
    <row r="72" spans="2:44" ht="19.5" thickBot="1">
      <c r="B72" s="76">
        <v>56</v>
      </c>
      <c r="C72" s="132"/>
      <c r="D72" s="77">
        <v>194</v>
      </c>
      <c r="E72" s="77">
        <v>221</v>
      </c>
      <c r="F72" s="77">
        <v>152</v>
      </c>
      <c r="G72" s="77">
        <v>128</v>
      </c>
      <c r="H72" s="77">
        <v>23</v>
      </c>
      <c r="I72" s="77">
        <v>23</v>
      </c>
      <c r="J72" s="77">
        <v>71</v>
      </c>
      <c r="K72" s="77">
        <v>85</v>
      </c>
      <c r="L72" s="77" t="s">
        <v>431</v>
      </c>
      <c r="M72" s="77">
        <v>36</v>
      </c>
      <c r="N72" s="77">
        <v>65</v>
      </c>
      <c r="O72" s="71"/>
      <c r="P72" s="71"/>
      <c r="Q72" s="71"/>
      <c r="R72" s="74">
        <v>71</v>
      </c>
      <c r="S72" s="115" t="s">
        <v>484</v>
      </c>
      <c r="T72" s="115">
        <v>93</v>
      </c>
      <c r="U72" s="75" t="s">
        <v>440</v>
      </c>
      <c r="V72" s="115">
        <v>6</v>
      </c>
      <c r="W72" s="115">
        <v>6</v>
      </c>
      <c r="X72" s="75">
        <v>112</v>
      </c>
      <c r="Y72" s="75">
        <v>135</v>
      </c>
      <c r="Z72" s="75">
        <v>28.5</v>
      </c>
      <c r="AA72" s="115" t="s">
        <v>470</v>
      </c>
      <c r="AB72" s="115">
        <v>48</v>
      </c>
      <c r="AC72" s="75">
        <v>71</v>
      </c>
      <c r="AG72" s="57">
        <v>71</v>
      </c>
      <c r="AH72" s="58">
        <v>2.4</v>
      </c>
      <c r="AI72" s="112">
        <v>6</v>
      </c>
      <c r="AJ72" s="112">
        <v>6</v>
      </c>
      <c r="AK72" s="59">
        <v>21.5</v>
      </c>
      <c r="AL72" s="59">
        <v>9</v>
      </c>
      <c r="AM72" s="59" t="s">
        <v>497</v>
      </c>
      <c r="AN72" s="59">
        <v>19</v>
      </c>
      <c r="AO72" s="113"/>
      <c r="AP72" s="59">
        <v>19</v>
      </c>
      <c r="AQ72" s="59">
        <v>21.5</v>
      </c>
      <c r="AR72" s="59">
        <v>15.1</v>
      </c>
    </row>
    <row r="73" spans="2:44" ht="19.5" thickBot="1">
      <c r="B73" s="76">
        <v>63</v>
      </c>
      <c r="C73" s="77" t="s">
        <v>432</v>
      </c>
      <c r="D73" s="77">
        <v>216</v>
      </c>
      <c r="E73" s="77">
        <v>250</v>
      </c>
      <c r="F73" s="77" t="s">
        <v>433</v>
      </c>
      <c r="G73" s="77">
        <v>138</v>
      </c>
      <c r="H73" s="77">
        <v>30</v>
      </c>
      <c r="I73" s="77">
        <v>30</v>
      </c>
      <c r="J73" s="77">
        <v>80</v>
      </c>
      <c r="K73" s="77">
        <v>96</v>
      </c>
      <c r="L73" s="77" t="s">
        <v>431</v>
      </c>
      <c r="M73" s="77">
        <v>40</v>
      </c>
      <c r="N73" s="77">
        <v>67</v>
      </c>
      <c r="O73" s="71"/>
      <c r="P73" s="71"/>
      <c r="Q73" s="71"/>
      <c r="R73" s="74" t="s">
        <v>471</v>
      </c>
      <c r="S73" s="116"/>
      <c r="T73" s="116"/>
      <c r="U73" s="75" t="s">
        <v>440</v>
      </c>
      <c r="V73" s="116"/>
      <c r="W73" s="116"/>
      <c r="X73" s="115">
        <v>125</v>
      </c>
      <c r="Y73" s="115">
        <v>155</v>
      </c>
      <c r="Z73" s="115">
        <v>33</v>
      </c>
      <c r="AA73" s="116"/>
      <c r="AB73" s="116"/>
      <c r="AC73" s="115">
        <v>80</v>
      </c>
      <c r="AG73" s="57" t="s">
        <v>471</v>
      </c>
      <c r="AH73" s="58">
        <v>6.8</v>
      </c>
      <c r="AI73" s="114"/>
      <c r="AJ73" s="114"/>
      <c r="AK73" s="112">
        <v>24.5</v>
      </c>
      <c r="AL73" s="112">
        <v>10</v>
      </c>
      <c r="AM73" s="112" t="s">
        <v>498</v>
      </c>
      <c r="AN73" s="112">
        <v>22</v>
      </c>
      <c r="AO73" s="112">
        <v>10</v>
      </c>
      <c r="AP73" s="112">
        <v>22</v>
      </c>
      <c r="AQ73" s="112">
        <v>24.5</v>
      </c>
      <c r="AR73" s="59">
        <v>17.399999999999999</v>
      </c>
    </row>
    <row r="74" spans="2:44" ht="38.25" customHeight="1" thickBot="1">
      <c r="B74" s="76">
        <v>71</v>
      </c>
      <c r="C74" s="131" t="s">
        <v>484</v>
      </c>
      <c r="D74" s="77">
        <v>285</v>
      </c>
      <c r="E74" s="77">
        <v>330</v>
      </c>
      <c r="F74" s="77" t="s">
        <v>438</v>
      </c>
      <c r="G74" s="77">
        <v>170</v>
      </c>
      <c r="H74" s="77">
        <v>40</v>
      </c>
      <c r="I74" s="77">
        <v>40</v>
      </c>
      <c r="J74" s="77">
        <v>90</v>
      </c>
      <c r="K74" s="77" t="s">
        <v>500</v>
      </c>
      <c r="L74" s="77" t="s">
        <v>431</v>
      </c>
      <c r="M74" s="77">
        <v>45</v>
      </c>
      <c r="N74" s="77">
        <v>73.5</v>
      </c>
      <c r="O74" s="71"/>
      <c r="P74" s="71"/>
      <c r="Q74" s="71"/>
      <c r="R74" s="74" t="s">
        <v>472</v>
      </c>
      <c r="S74" s="116"/>
      <c r="T74" s="116"/>
      <c r="U74" s="75" t="s">
        <v>440</v>
      </c>
      <c r="V74" s="117"/>
      <c r="W74" s="117"/>
      <c r="X74" s="117"/>
      <c r="Y74" s="117"/>
      <c r="Z74" s="117"/>
      <c r="AA74" s="116"/>
      <c r="AB74" s="116"/>
      <c r="AC74" s="117"/>
      <c r="AG74" s="57" t="s">
        <v>472</v>
      </c>
      <c r="AH74" s="60"/>
      <c r="AI74" s="113"/>
      <c r="AJ74" s="113"/>
      <c r="AK74" s="113"/>
      <c r="AL74" s="113"/>
      <c r="AM74" s="113"/>
      <c r="AN74" s="113"/>
      <c r="AO74" s="114"/>
      <c r="AP74" s="113"/>
      <c r="AQ74" s="113"/>
      <c r="AR74" s="59">
        <v>20.399999999999999</v>
      </c>
    </row>
    <row r="75" spans="2:44" ht="19.5" thickBot="1">
      <c r="B75" s="76" t="s">
        <v>434</v>
      </c>
      <c r="C75" s="133"/>
      <c r="D75" s="77">
        <v>300</v>
      </c>
      <c r="E75" s="77">
        <v>355</v>
      </c>
      <c r="F75" s="131" t="s">
        <v>437</v>
      </c>
      <c r="G75" s="131">
        <v>186</v>
      </c>
      <c r="H75" s="131">
        <v>50</v>
      </c>
      <c r="I75" s="131">
        <v>50</v>
      </c>
      <c r="J75" s="131">
        <v>100</v>
      </c>
      <c r="K75" s="131">
        <v>125</v>
      </c>
      <c r="L75" s="131" t="s">
        <v>431</v>
      </c>
      <c r="M75" s="131">
        <v>50</v>
      </c>
      <c r="N75" s="131">
        <v>76</v>
      </c>
      <c r="O75" s="71"/>
      <c r="P75" s="71"/>
      <c r="Q75" s="71"/>
      <c r="R75" s="74" t="s">
        <v>436</v>
      </c>
      <c r="S75" s="117"/>
      <c r="T75" s="117"/>
      <c r="U75" s="75" t="s">
        <v>473</v>
      </c>
      <c r="V75" s="75">
        <v>8</v>
      </c>
      <c r="W75" s="75">
        <v>8</v>
      </c>
      <c r="X75" s="75">
        <v>140</v>
      </c>
      <c r="Y75" s="75">
        <v>175</v>
      </c>
      <c r="Z75" s="75">
        <v>38</v>
      </c>
      <c r="AA75" s="117"/>
      <c r="AB75" s="117"/>
      <c r="AC75" s="75">
        <v>90</v>
      </c>
      <c r="AG75" s="57" t="s">
        <v>436</v>
      </c>
      <c r="AH75" s="61"/>
      <c r="AI75" s="59">
        <v>7</v>
      </c>
      <c r="AJ75" s="59">
        <v>7</v>
      </c>
      <c r="AK75" s="59">
        <v>27</v>
      </c>
      <c r="AL75" s="59">
        <v>11</v>
      </c>
      <c r="AM75" s="59" t="s">
        <v>499</v>
      </c>
      <c r="AN75" s="59">
        <v>24</v>
      </c>
      <c r="AO75" s="113"/>
      <c r="AP75" s="59">
        <v>24</v>
      </c>
      <c r="AQ75" s="59">
        <v>27</v>
      </c>
      <c r="AR75" s="59">
        <v>28.7</v>
      </c>
    </row>
    <row r="76" spans="2:44" ht="40.5" customHeight="1" thickBot="1">
      <c r="B76" s="76" t="s">
        <v>435</v>
      </c>
      <c r="C76" s="133"/>
      <c r="D76" s="77">
        <v>320</v>
      </c>
      <c r="E76" s="77">
        <v>375</v>
      </c>
      <c r="F76" s="132"/>
      <c r="G76" s="132"/>
      <c r="H76" s="133"/>
      <c r="I76" s="133"/>
      <c r="J76" s="132"/>
      <c r="K76" s="132"/>
      <c r="L76" s="132"/>
      <c r="M76" s="132"/>
      <c r="N76" s="132"/>
      <c r="O76" s="71"/>
      <c r="P76" s="71"/>
      <c r="Q76" s="71"/>
      <c r="R76" s="79" t="s">
        <v>439</v>
      </c>
      <c r="S76" s="80">
        <v>2.4</v>
      </c>
      <c r="T76" s="115">
        <v>93</v>
      </c>
      <c r="U76" s="115">
        <v>228.5</v>
      </c>
      <c r="V76" s="115">
        <v>8</v>
      </c>
      <c r="W76" s="115">
        <v>8</v>
      </c>
      <c r="X76" s="115">
        <v>160</v>
      </c>
      <c r="Y76" s="115">
        <v>200</v>
      </c>
      <c r="Z76" s="115">
        <v>44</v>
      </c>
      <c r="AA76" s="115" t="s">
        <v>483</v>
      </c>
      <c r="AB76" s="115">
        <v>48</v>
      </c>
      <c r="AC76" s="115">
        <v>100</v>
      </c>
      <c r="AG76" s="118" t="s">
        <v>439</v>
      </c>
      <c r="AH76" s="120" t="s">
        <v>430</v>
      </c>
      <c r="AI76" s="120">
        <v>7</v>
      </c>
      <c r="AJ76" s="120">
        <v>7</v>
      </c>
      <c r="AK76" s="120">
        <v>31</v>
      </c>
      <c r="AL76" s="120">
        <v>12</v>
      </c>
      <c r="AM76" s="120">
        <v>231</v>
      </c>
      <c r="AN76" s="120">
        <v>28</v>
      </c>
      <c r="AO76" s="120">
        <v>12</v>
      </c>
      <c r="AP76" s="120">
        <v>28</v>
      </c>
      <c r="AQ76" s="120">
        <v>31</v>
      </c>
      <c r="AR76" s="120">
        <v>36</v>
      </c>
    </row>
    <row r="77" spans="2:44" ht="19.5" thickBot="1">
      <c r="B77" s="76" t="s">
        <v>436</v>
      </c>
      <c r="C77" s="132"/>
      <c r="D77" s="77">
        <v>350</v>
      </c>
      <c r="E77" s="77">
        <v>405</v>
      </c>
      <c r="F77" s="77">
        <v>243260</v>
      </c>
      <c r="G77" s="77">
        <v>208</v>
      </c>
      <c r="H77" s="132"/>
      <c r="I77" s="132"/>
      <c r="J77" s="77">
        <v>125</v>
      </c>
      <c r="K77" s="77">
        <v>155</v>
      </c>
      <c r="L77" s="77" t="s">
        <v>431</v>
      </c>
      <c r="M77" s="77">
        <v>56</v>
      </c>
      <c r="N77" s="77">
        <v>79</v>
      </c>
      <c r="O77" s="71"/>
      <c r="P77" s="71"/>
      <c r="Q77" s="71"/>
      <c r="R77" s="74" t="s">
        <v>441</v>
      </c>
      <c r="S77" s="81">
        <v>2.4</v>
      </c>
      <c r="T77" s="117"/>
      <c r="U77" s="117"/>
      <c r="V77" s="117"/>
      <c r="W77" s="117"/>
      <c r="X77" s="117"/>
      <c r="Y77" s="117"/>
      <c r="Z77" s="117"/>
      <c r="AA77" s="117"/>
      <c r="AB77" s="117"/>
      <c r="AC77" s="117"/>
      <c r="AG77" s="119"/>
      <c r="AH77" s="121"/>
      <c r="AI77" s="123"/>
      <c r="AJ77" s="123"/>
      <c r="AK77" s="123"/>
      <c r="AL77" s="123"/>
      <c r="AM77" s="121"/>
      <c r="AN77" s="123"/>
      <c r="AO77" s="123"/>
      <c r="AP77" s="123"/>
      <c r="AQ77" s="123"/>
      <c r="AR77" s="121"/>
    </row>
    <row r="78" spans="2:44" ht="19.5" thickBot="1">
      <c r="B78" s="82" t="s">
        <v>439</v>
      </c>
      <c r="C78" s="80">
        <v>2.4</v>
      </c>
      <c r="D78" s="80">
        <v>365</v>
      </c>
      <c r="E78" s="80">
        <v>427</v>
      </c>
      <c r="F78" s="80">
        <v>265</v>
      </c>
      <c r="G78" s="115">
        <v>235</v>
      </c>
      <c r="H78" s="115">
        <v>60</v>
      </c>
      <c r="I78" s="115">
        <v>60</v>
      </c>
      <c r="J78" s="80">
        <v>112</v>
      </c>
      <c r="K78" s="80">
        <v>147</v>
      </c>
      <c r="L78" s="115" t="s">
        <v>440</v>
      </c>
      <c r="M78" s="115">
        <v>63</v>
      </c>
      <c r="N78" s="115">
        <v>83.5</v>
      </c>
      <c r="O78" s="71"/>
      <c r="P78" s="71"/>
      <c r="Q78" s="71"/>
      <c r="R78" s="74" t="s">
        <v>442</v>
      </c>
      <c r="S78" s="75">
        <v>6.8</v>
      </c>
      <c r="T78" s="115">
        <v>126</v>
      </c>
      <c r="U78" s="75">
        <v>268</v>
      </c>
      <c r="V78" s="115">
        <v>10</v>
      </c>
      <c r="W78" s="115">
        <v>10</v>
      </c>
      <c r="X78" s="75">
        <v>190</v>
      </c>
      <c r="Y78" s="75">
        <v>230</v>
      </c>
      <c r="Z78" s="75">
        <v>40</v>
      </c>
      <c r="AA78" s="115">
        <v>115</v>
      </c>
      <c r="AB78" s="75">
        <v>30</v>
      </c>
      <c r="AC78" s="75">
        <v>112</v>
      </c>
      <c r="AG78" s="118" t="s">
        <v>441</v>
      </c>
      <c r="AH78" s="84" t="s">
        <v>501</v>
      </c>
      <c r="AI78" s="123"/>
      <c r="AJ78" s="123"/>
      <c r="AK78" s="123"/>
      <c r="AL78" s="123"/>
      <c r="AM78" s="120">
        <v>240</v>
      </c>
      <c r="AN78" s="123"/>
      <c r="AO78" s="123"/>
      <c r="AP78" s="123"/>
      <c r="AQ78" s="123"/>
      <c r="AR78" s="120">
        <v>42</v>
      </c>
    </row>
    <row r="79" spans="2:44" ht="19.5" thickBot="1">
      <c r="B79" s="83" t="s">
        <v>441</v>
      </c>
      <c r="C79" s="81">
        <v>2.4</v>
      </c>
      <c r="D79" s="75">
        <v>395</v>
      </c>
      <c r="E79" s="75">
        <v>457</v>
      </c>
      <c r="F79" s="75">
        <v>280</v>
      </c>
      <c r="G79" s="117"/>
      <c r="H79" s="117"/>
      <c r="I79" s="117"/>
      <c r="J79" s="115">
        <v>140</v>
      </c>
      <c r="K79" s="75">
        <v>175</v>
      </c>
      <c r="L79" s="117"/>
      <c r="M79" s="117"/>
      <c r="N79" s="117"/>
      <c r="O79" s="71"/>
      <c r="P79" s="71"/>
      <c r="Q79" s="71"/>
      <c r="R79" s="74" t="s">
        <v>443</v>
      </c>
      <c r="S79" s="75" t="s">
        <v>444</v>
      </c>
      <c r="T79" s="116"/>
      <c r="U79" s="115">
        <v>277</v>
      </c>
      <c r="V79" s="116"/>
      <c r="W79" s="116"/>
      <c r="X79" s="115">
        <v>216</v>
      </c>
      <c r="Y79" s="115">
        <v>265</v>
      </c>
      <c r="Z79" s="115">
        <v>44</v>
      </c>
      <c r="AA79" s="116"/>
      <c r="AB79" s="115">
        <v>40</v>
      </c>
      <c r="AC79" s="115">
        <v>132</v>
      </c>
      <c r="AG79" s="122"/>
      <c r="AH79" s="84" t="s">
        <v>502</v>
      </c>
      <c r="AI79" s="123"/>
      <c r="AJ79" s="123"/>
      <c r="AK79" s="123"/>
      <c r="AL79" s="123"/>
      <c r="AM79" s="123"/>
      <c r="AN79" s="123"/>
      <c r="AO79" s="123"/>
      <c r="AP79" s="123"/>
      <c r="AQ79" s="123"/>
      <c r="AR79" s="123"/>
    </row>
    <row r="80" spans="2:44" ht="19.5" thickBot="1">
      <c r="B80" s="83" t="s">
        <v>442</v>
      </c>
      <c r="C80" s="75">
        <v>6.8</v>
      </c>
      <c r="D80" s="75">
        <v>452</v>
      </c>
      <c r="E80" s="75">
        <v>534</v>
      </c>
      <c r="F80" s="75">
        <v>310</v>
      </c>
      <c r="G80" s="75">
        <v>260</v>
      </c>
      <c r="H80" s="115">
        <v>80</v>
      </c>
      <c r="I80" s="115">
        <v>80</v>
      </c>
      <c r="J80" s="116"/>
      <c r="K80" s="75">
        <v>180</v>
      </c>
      <c r="L80" s="75" t="s">
        <v>440</v>
      </c>
      <c r="M80" s="75">
        <v>70</v>
      </c>
      <c r="N80" s="115">
        <v>100</v>
      </c>
      <c r="O80" s="71"/>
      <c r="P80" s="71"/>
      <c r="Q80" s="71"/>
      <c r="R80" s="124" t="s">
        <v>445</v>
      </c>
      <c r="S80" s="115" t="s">
        <v>484</v>
      </c>
      <c r="T80" s="116"/>
      <c r="U80" s="116"/>
      <c r="V80" s="116"/>
      <c r="W80" s="116"/>
      <c r="X80" s="116"/>
      <c r="Y80" s="116"/>
      <c r="Z80" s="116"/>
      <c r="AA80" s="116"/>
      <c r="AB80" s="116"/>
      <c r="AC80" s="116"/>
      <c r="AG80" s="119"/>
      <c r="AH80" s="84"/>
      <c r="AI80" s="121"/>
      <c r="AJ80" s="121"/>
      <c r="AK80" s="121"/>
      <c r="AL80" s="123"/>
      <c r="AM80" s="121"/>
      <c r="AN80" s="121"/>
      <c r="AO80" s="123"/>
      <c r="AP80" s="121"/>
      <c r="AQ80" s="121"/>
      <c r="AR80" s="121"/>
    </row>
    <row r="81" spans="2:44" ht="19.5" thickBot="1">
      <c r="B81" s="83" t="s">
        <v>443</v>
      </c>
      <c r="C81" s="75" t="s">
        <v>444</v>
      </c>
      <c r="D81" s="75">
        <v>480</v>
      </c>
      <c r="E81" s="75">
        <v>560</v>
      </c>
      <c r="F81" s="115">
        <v>350</v>
      </c>
      <c r="G81" s="115">
        <v>302</v>
      </c>
      <c r="H81" s="116"/>
      <c r="I81" s="116"/>
      <c r="J81" s="117"/>
      <c r="K81" s="75">
        <v>185</v>
      </c>
      <c r="L81" s="115" t="s">
        <v>440</v>
      </c>
      <c r="M81" s="115">
        <v>89</v>
      </c>
      <c r="N81" s="116"/>
      <c r="O81" s="71"/>
      <c r="P81" s="71"/>
      <c r="Q81" s="71"/>
      <c r="R81" s="125"/>
      <c r="S81" s="117"/>
      <c r="T81" s="117"/>
      <c r="U81" s="117"/>
      <c r="V81" s="117"/>
      <c r="W81" s="117"/>
      <c r="X81" s="117"/>
      <c r="Y81" s="117"/>
      <c r="Z81" s="117"/>
      <c r="AA81" s="117"/>
      <c r="AB81" s="117"/>
      <c r="AC81" s="117"/>
      <c r="AG81" s="118" t="s">
        <v>503</v>
      </c>
      <c r="AH81" s="84"/>
      <c r="AI81" s="84"/>
      <c r="AJ81" s="120">
        <v>8</v>
      </c>
      <c r="AK81" s="120">
        <v>35</v>
      </c>
      <c r="AL81" s="123"/>
      <c r="AM81" s="120">
        <v>262</v>
      </c>
      <c r="AN81" s="120">
        <v>32</v>
      </c>
      <c r="AO81" s="123"/>
      <c r="AP81" s="120">
        <v>32</v>
      </c>
      <c r="AQ81" s="120">
        <v>35</v>
      </c>
      <c r="AR81" s="120">
        <v>56</v>
      </c>
    </row>
    <row r="82" spans="2:44" ht="19.5" thickBot="1">
      <c r="B82" s="115" t="s">
        <v>445</v>
      </c>
      <c r="C82" s="115" t="s">
        <v>484</v>
      </c>
      <c r="D82" s="115">
        <v>530</v>
      </c>
      <c r="E82" s="115">
        <v>610</v>
      </c>
      <c r="F82" s="116"/>
      <c r="G82" s="116"/>
      <c r="H82" s="116"/>
      <c r="I82" s="116"/>
      <c r="J82" s="115">
        <v>178</v>
      </c>
      <c r="K82" s="115">
        <v>223</v>
      </c>
      <c r="L82" s="116"/>
      <c r="M82" s="116"/>
      <c r="N82" s="116"/>
      <c r="O82" s="71"/>
      <c r="P82" s="71"/>
      <c r="Q82" s="71"/>
      <c r="R82" s="124" t="s">
        <v>446</v>
      </c>
      <c r="S82" s="75">
        <v>2</v>
      </c>
      <c r="T82" s="115">
        <v>175</v>
      </c>
      <c r="U82" s="115">
        <v>354</v>
      </c>
      <c r="V82" s="75">
        <v>12</v>
      </c>
      <c r="W82" s="115">
        <v>12</v>
      </c>
      <c r="X82" s="115">
        <v>254</v>
      </c>
      <c r="Y82" s="115">
        <v>304</v>
      </c>
      <c r="Z82" s="115">
        <v>50</v>
      </c>
      <c r="AA82" s="115">
        <v>205</v>
      </c>
      <c r="AB82" s="115">
        <v>115</v>
      </c>
      <c r="AC82" s="115">
        <v>160</v>
      </c>
      <c r="AG82" s="122"/>
      <c r="AH82" s="85"/>
      <c r="AI82" s="84">
        <v>8</v>
      </c>
      <c r="AJ82" s="123"/>
      <c r="AK82" s="123"/>
      <c r="AL82" s="123"/>
      <c r="AM82" s="123"/>
      <c r="AN82" s="123"/>
      <c r="AO82" s="123"/>
      <c r="AP82" s="123"/>
      <c r="AQ82" s="123"/>
      <c r="AR82" s="123"/>
    </row>
    <row r="83" spans="2:44" ht="19.5" thickBot="1">
      <c r="B83" s="117"/>
      <c r="C83" s="117"/>
      <c r="D83" s="117"/>
      <c r="E83" s="117"/>
      <c r="F83" s="117"/>
      <c r="G83" s="117"/>
      <c r="H83" s="117"/>
      <c r="I83" s="117"/>
      <c r="J83" s="116"/>
      <c r="K83" s="117"/>
      <c r="L83" s="117"/>
      <c r="M83" s="117"/>
      <c r="N83" s="117"/>
      <c r="O83" s="71"/>
      <c r="P83" s="71"/>
      <c r="Q83" s="71"/>
      <c r="R83" s="125"/>
      <c r="S83" s="75" t="s">
        <v>444</v>
      </c>
      <c r="T83" s="116"/>
      <c r="U83" s="116"/>
      <c r="V83" s="75">
        <v>14</v>
      </c>
      <c r="W83" s="116"/>
      <c r="X83" s="116"/>
      <c r="Y83" s="116"/>
      <c r="Z83" s="116"/>
      <c r="AA83" s="116"/>
      <c r="AB83" s="116"/>
      <c r="AC83" s="116"/>
      <c r="AG83" s="119"/>
      <c r="AH83" s="86"/>
      <c r="AI83" s="84"/>
      <c r="AJ83" s="123"/>
      <c r="AK83" s="121"/>
      <c r="AL83" s="121"/>
      <c r="AM83" s="121"/>
      <c r="AN83" s="121"/>
      <c r="AO83" s="123"/>
      <c r="AP83" s="121"/>
      <c r="AQ83" s="121"/>
      <c r="AR83" s="121"/>
    </row>
    <row r="84" spans="2:44" ht="19.5" thickBot="1">
      <c r="B84" s="115" t="s">
        <v>446</v>
      </c>
      <c r="C84" s="75">
        <v>2</v>
      </c>
      <c r="D84" s="115">
        <v>624</v>
      </c>
      <c r="E84" s="115">
        <v>737</v>
      </c>
      <c r="F84" s="115">
        <v>430</v>
      </c>
      <c r="G84" s="115">
        <v>358</v>
      </c>
      <c r="H84" s="115">
        <v>110</v>
      </c>
      <c r="I84" s="115">
        <v>110</v>
      </c>
      <c r="J84" s="116"/>
      <c r="K84" s="115">
        <v>228</v>
      </c>
      <c r="L84" s="115" t="s">
        <v>440</v>
      </c>
      <c r="M84" s="115">
        <v>108</v>
      </c>
      <c r="N84" s="115">
        <v>128</v>
      </c>
      <c r="O84" s="71"/>
      <c r="P84" s="71"/>
      <c r="Q84" s="71"/>
      <c r="R84" s="124" t="s">
        <v>447</v>
      </c>
      <c r="S84" s="75">
        <v>2</v>
      </c>
      <c r="T84" s="116"/>
      <c r="U84" s="116"/>
      <c r="V84" s="75">
        <v>12</v>
      </c>
      <c r="W84" s="116"/>
      <c r="X84" s="116"/>
      <c r="Y84" s="116"/>
      <c r="Z84" s="116"/>
      <c r="AA84" s="116"/>
      <c r="AB84" s="116"/>
      <c r="AC84" s="116"/>
      <c r="AG84" s="118" t="s">
        <v>443</v>
      </c>
      <c r="AH84" s="120" t="s">
        <v>504</v>
      </c>
      <c r="AI84" s="84"/>
      <c r="AJ84" s="123"/>
      <c r="AK84" s="120">
        <v>41</v>
      </c>
      <c r="AL84" s="120">
        <v>13</v>
      </c>
      <c r="AM84" s="120">
        <v>302</v>
      </c>
      <c r="AN84" s="120">
        <v>38</v>
      </c>
      <c r="AO84" s="123"/>
      <c r="AP84" s="120">
        <v>38</v>
      </c>
      <c r="AQ84" s="120">
        <v>41</v>
      </c>
      <c r="AR84" s="120">
        <v>77</v>
      </c>
    </row>
    <row r="85" spans="2:44" ht="19.5" thickBot="1">
      <c r="B85" s="117"/>
      <c r="C85" s="75" t="s">
        <v>444</v>
      </c>
      <c r="D85" s="117"/>
      <c r="E85" s="117"/>
      <c r="F85" s="116"/>
      <c r="G85" s="116"/>
      <c r="H85" s="116"/>
      <c r="I85" s="116"/>
      <c r="J85" s="117"/>
      <c r="K85" s="117"/>
      <c r="L85" s="117"/>
      <c r="M85" s="116"/>
      <c r="N85" s="116"/>
      <c r="O85" s="71"/>
      <c r="P85" s="71"/>
      <c r="Q85" s="71"/>
      <c r="R85" s="125"/>
      <c r="S85" s="75" t="s">
        <v>444</v>
      </c>
      <c r="T85" s="116"/>
      <c r="U85" s="117"/>
      <c r="V85" s="115">
        <v>14</v>
      </c>
      <c r="W85" s="117"/>
      <c r="X85" s="117"/>
      <c r="Y85" s="117"/>
      <c r="Z85" s="117"/>
      <c r="AA85" s="116"/>
      <c r="AB85" s="116"/>
      <c r="AC85" s="117"/>
      <c r="AG85" s="119"/>
      <c r="AH85" s="121"/>
      <c r="AI85" s="84"/>
      <c r="AJ85" s="123"/>
      <c r="AK85" s="123"/>
      <c r="AL85" s="123"/>
      <c r="AM85" s="123"/>
      <c r="AN85" s="123"/>
      <c r="AO85" s="123"/>
      <c r="AP85" s="123"/>
      <c r="AQ85" s="123"/>
      <c r="AR85" s="121"/>
    </row>
    <row r="86" spans="2:44" ht="19.5" thickBot="1">
      <c r="B86" s="115" t="s">
        <v>447</v>
      </c>
      <c r="C86" s="75">
        <v>2</v>
      </c>
      <c r="D86" s="115">
        <v>667</v>
      </c>
      <c r="E86" s="115">
        <v>780</v>
      </c>
      <c r="F86" s="116"/>
      <c r="G86" s="116"/>
      <c r="H86" s="116"/>
      <c r="I86" s="116"/>
      <c r="J86" s="115">
        <v>210</v>
      </c>
      <c r="K86" s="115">
        <v>260</v>
      </c>
      <c r="L86" s="115" t="s">
        <v>440</v>
      </c>
      <c r="M86" s="116"/>
      <c r="N86" s="116"/>
      <c r="O86" s="71"/>
      <c r="P86" s="71"/>
      <c r="Q86" s="71"/>
      <c r="R86" s="124" t="s">
        <v>448</v>
      </c>
      <c r="S86" s="75">
        <v>2</v>
      </c>
      <c r="T86" s="116"/>
      <c r="U86" s="115">
        <v>364</v>
      </c>
      <c r="V86" s="117"/>
      <c r="W86" s="115">
        <v>14</v>
      </c>
      <c r="X86" s="115">
        <v>279</v>
      </c>
      <c r="Y86" s="115">
        <v>340</v>
      </c>
      <c r="Z86" s="115">
        <v>67</v>
      </c>
      <c r="AA86" s="116"/>
      <c r="AB86" s="116"/>
      <c r="AC86" s="115">
        <v>180</v>
      </c>
      <c r="AG86" s="88" t="s">
        <v>505</v>
      </c>
      <c r="AH86" s="87" t="s">
        <v>506</v>
      </c>
      <c r="AI86" s="84"/>
      <c r="AJ86" s="123"/>
      <c r="AK86" s="121"/>
      <c r="AL86" s="121"/>
      <c r="AM86" s="121"/>
      <c r="AN86" s="121"/>
      <c r="AO86" s="121"/>
      <c r="AP86" s="121"/>
      <c r="AQ86" s="121"/>
      <c r="AR86" s="87">
        <v>93</v>
      </c>
    </row>
    <row r="87" spans="2:44" ht="19.5" thickBot="1">
      <c r="B87" s="117"/>
      <c r="C87" s="75" t="s">
        <v>444</v>
      </c>
      <c r="D87" s="117"/>
      <c r="E87" s="117"/>
      <c r="F87" s="117"/>
      <c r="G87" s="117"/>
      <c r="H87" s="116"/>
      <c r="I87" s="116"/>
      <c r="J87" s="117"/>
      <c r="K87" s="117"/>
      <c r="L87" s="117"/>
      <c r="M87" s="117"/>
      <c r="N87" s="117"/>
      <c r="O87" s="71"/>
      <c r="P87" s="71"/>
      <c r="Q87" s="71"/>
      <c r="R87" s="125"/>
      <c r="S87" s="75">
        <v>4</v>
      </c>
      <c r="T87" s="116"/>
      <c r="U87" s="116"/>
      <c r="V87" s="75">
        <v>16</v>
      </c>
      <c r="W87" s="116"/>
      <c r="X87" s="116"/>
      <c r="Y87" s="116"/>
      <c r="Z87" s="116"/>
      <c r="AA87" s="116"/>
      <c r="AB87" s="116"/>
      <c r="AC87" s="116"/>
      <c r="AG87" s="118" t="s">
        <v>446</v>
      </c>
      <c r="AH87" s="120">
        <v>2</v>
      </c>
      <c r="AI87" s="85"/>
      <c r="AJ87" s="123"/>
      <c r="AK87" s="120">
        <v>45</v>
      </c>
      <c r="AL87" s="120">
        <v>18</v>
      </c>
      <c r="AM87" s="120">
        <v>325</v>
      </c>
      <c r="AN87" s="120">
        <v>42</v>
      </c>
      <c r="AO87" s="120">
        <v>15</v>
      </c>
      <c r="AP87" s="120">
        <v>42</v>
      </c>
      <c r="AQ87" s="120">
        <v>45</v>
      </c>
      <c r="AR87" s="120">
        <v>130</v>
      </c>
    </row>
    <row r="88" spans="2:44" ht="19.5" thickBot="1">
      <c r="B88" s="115" t="s">
        <v>448</v>
      </c>
      <c r="C88" s="75">
        <v>2</v>
      </c>
      <c r="D88" s="115">
        <v>662</v>
      </c>
      <c r="E88" s="115">
        <v>778</v>
      </c>
      <c r="F88" s="115">
        <v>470</v>
      </c>
      <c r="G88" s="115">
        <v>410</v>
      </c>
      <c r="H88" s="116"/>
      <c r="I88" s="116"/>
      <c r="J88" s="115">
        <v>203</v>
      </c>
      <c r="K88" s="115">
        <v>253</v>
      </c>
      <c r="L88" s="115">
        <v>60</v>
      </c>
      <c r="M88" s="115">
        <v>121</v>
      </c>
      <c r="N88" s="115">
        <v>138</v>
      </c>
      <c r="O88" s="71"/>
      <c r="P88" s="71"/>
      <c r="Q88" s="71"/>
      <c r="R88" s="124" t="s">
        <v>449</v>
      </c>
      <c r="S88" s="75">
        <v>2</v>
      </c>
      <c r="T88" s="116"/>
      <c r="U88" s="116"/>
      <c r="V88" s="75">
        <v>14</v>
      </c>
      <c r="W88" s="116"/>
      <c r="X88" s="116"/>
      <c r="Y88" s="116"/>
      <c r="Z88" s="116"/>
      <c r="AA88" s="116"/>
      <c r="AB88" s="116"/>
      <c r="AC88" s="116"/>
      <c r="AG88" s="122"/>
      <c r="AH88" s="121"/>
      <c r="AI88" s="86"/>
      <c r="AJ88" s="123"/>
      <c r="AK88" s="121"/>
      <c r="AL88" s="123"/>
      <c r="AM88" s="123"/>
      <c r="AN88" s="121"/>
      <c r="AO88" s="123"/>
      <c r="AP88" s="123"/>
      <c r="AQ88" s="123"/>
      <c r="AR88" s="121"/>
    </row>
    <row r="89" spans="2:44" ht="19.5" thickBot="1">
      <c r="B89" s="117"/>
      <c r="C89" s="75">
        <v>4</v>
      </c>
      <c r="D89" s="117"/>
      <c r="E89" s="117"/>
      <c r="F89" s="116"/>
      <c r="G89" s="116"/>
      <c r="H89" s="116"/>
      <c r="I89" s="116"/>
      <c r="J89" s="117"/>
      <c r="K89" s="117"/>
      <c r="L89" s="116"/>
      <c r="M89" s="116"/>
      <c r="N89" s="116"/>
      <c r="O89" s="71"/>
      <c r="P89" s="71"/>
      <c r="Q89" s="71"/>
      <c r="R89" s="125"/>
      <c r="S89" s="75" t="s">
        <v>444</v>
      </c>
      <c r="T89" s="117"/>
      <c r="U89" s="117"/>
      <c r="V89" s="115">
        <v>16</v>
      </c>
      <c r="W89" s="117"/>
      <c r="X89" s="117"/>
      <c r="Y89" s="117"/>
      <c r="Z89" s="117"/>
      <c r="AA89" s="117"/>
      <c r="AB89" s="117"/>
      <c r="AC89" s="117"/>
      <c r="AG89" s="122"/>
      <c r="AH89" s="120" t="s">
        <v>504</v>
      </c>
      <c r="AI89" s="120">
        <v>9</v>
      </c>
      <c r="AJ89" s="123"/>
      <c r="AK89" s="120">
        <v>51.5</v>
      </c>
      <c r="AL89" s="123"/>
      <c r="AM89" s="123"/>
      <c r="AN89" s="120">
        <v>48</v>
      </c>
      <c r="AO89" s="123"/>
      <c r="AP89" s="123"/>
      <c r="AQ89" s="123"/>
      <c r="AR89" s="120">
        <v>135</v>
      </c>
    </row>
    <row r="90" spans="2:44" ht="19.5" thickBot="1">
      <c r="B90" s="115" t="s">
        <v>449</v>
      </c>
      <c r="C90" s="75">
        <v>2</v>
      </c>
      <c r="D90" s="115">
        <v>702</v>
      </c>
      <c r="E90" s="115">
        <v>818</v>
      </c>
      <c r="F90" s="116"/>
      <c r="G90" s="116"/>
      <c r="H90" s="116"/>
      <c r="I90" s="116"/>
      <c r="J90" s="115">
        <v>241</v>
      </c>
      <c r="K90" s="115">
        <v>290</v>
      </c>
      <c r="L90" s="116"/>
      <c r="M90" s="116"/>
      <c r="N90" s="116"/>
      <c r="O90" s="71"/>
      <c r="P90" s="71"/>
      <c r="Q90" s="71"/>
      <c r="R90" s="124" t="s">
        <v>450</v>
      </c>
      <c r="S90" s="75">
        <v>2</v>
      </c>
      <c r="T90" s="115">
        <v>22</v>
      </c>
      <c r="U90" s="75">
        <v>403</v>
      </c>
      <c r="V90" s="117"/>
      <c r="W90" s="115">
        <v>16</v>
      </c>
      <c r="X90" s="115">
        <v>318</v>
      </c>
      <c r="Y90" s="115">
        <v>408</v>
      </c>
      <c r="Z90" s="115">
        <v>90</v>
      </c>
      <c r="AA90" s="115">
        <v>235</v>
      </c>
      <c r="AB90" s="115">
        <v>120</v>
      </c>
      <c r="AC90" s="115">
        <v>200</v>
      </c>
      <c r="AG90" s="119"/>
      <c r="AH90" s="121"/>
      <c r="AI90" s="121"/>
      <c r="AJ90" s="123"/>
      <c r="AK90" s="121"/>
      <c r="AL90" s="123"/>
      <c r="AM90" s="123"/>
      <c r="AN90" s="121"/>
      <c r="AO90" s="123"/>
      <c r="AP90" s="123"/>
      <c r="AQ90" s="123"/>
      <c r="AR90" s="121"/>
    </row>
    <row r="91" spans="2:44" ht="19.5" thickBot="1">
      <c r="B91" s="117"/>
      <c r="C91" s="75" t="s">
        <v>444</v>
      </c>
      <c r="D91" s="117"/>
      <c r="E91" s="117"/>
      <c r="F91" s="117"/>
      <c r="G91" s="117"/>
      <c r="H91" s="116"/>
      <c r="I91" s="116"/>
      <c r="J91" s="117"/>
      <c r="K91" s="117"/>
      <c r="L91" s="117"/>
      <c r="M91" s="117"/>
      <c r="N91" s="117"/>
      <c r="O91" s="71"/>
      <c r="P91" s="71"/>
      <c r="Q91" s="71"/>
      <c r="R91" s="125"/>
      <c r="S91" s="75" t="s">
        <v>444</v>
      </c>
      <c r="T91" s="116"/>
      <c r="U91" s="75">
        <v>433</v>
      </c>
      <c r="V91" s="75">
        <v>18</v>
      </c>
      <c r="W91" s="116"/>
      <c r="X91" s="116"/>
      <c r="Y91" s="116"/>
      <c r="Z91" s="116"/>
      <c r="AA91" s="116"/>
      <c r="AB91" s="116"/>
      <c r="AC91" s="116"/>
      <c r="AG91" s="118" t="s">
        <v>507</v>
      </c>
      <c r="AH91" s="120">
        <v>2</v>
      </c>
      <c r="AI91" s="120">
        <v>8</v>
      </c>
      <c r="AJ91" s="123"/>
      <c r="AK91" s="120">
        <v>45</v>
      </c>
      <c r="AL91" s="123"/>
      <c r="AM91" s="123"/>
      <c r="AN91" s="120">
        <v>42</v>
      </c>
      <c r="AO91" s="123"/>
      <c r="AP91" s="123"/>
      <c r="AQ91" s="123"/>
      <c r="AR91" s="120">
        <v>145</v>
      </c>
    </row>
    <row r="92" spans="2:44" ht="19.5" thickBot="1">
      <c r="B92" s="115" t="s">
        <v>450</v>
      </c>
      <c r="C92" s="75">
        <v>2</v>
      </c>
      <c r="D92" s="75">
        <v>760</v>
      </c>
      <c r="E92" s="75">
        <v>875</v>
      </c>
      <c r="F92" s="115">
        <v>535</v>
      </c>
      <c r="G92" s="115">
        <v>450</v>
      </c>
      <c r="H92" s="117"/>
      <c r="I92" s="116"/>
      <c r="J92" s="115">
        <v>267</v>
      </c>
      <c r="K92" s="115">
        <v>337</v>
      </c>
      <c r="L92" s="115">
        <v>90</v>
      </c>
      <c r="M92" s="115">
        <v>133</v>
      </c>
      <c r="N92" s="115">
        <v>156</v>
      </c>
      <c r="O92" s="71"/>
      <c r="P92" s="71"/>
      <c r="Q92" s="71"/>
      <c r="R92" s="124" t="s">
        <v>451</v>
      </c>
      <c r="S92" s="75">
        <v>2</v>
      </c>
      <c r="T92" s="116"/>
      <c r="U92" s="75">
        <v>403</v>
      </c>
      <c r="V92" s="75">
        <v>16</v>
      </c>
      <c r="W92" s="116"/>
      <c r="X92" s="116"/>
      <c r="Y92" s="116"/>
      <c r="Z92" s="116"/>
      <c r="AA92" s="116"/>
      <c r="AB92" s="116"/>
      <c r="AC92" s="116"/>
      <c r="AG92" s="122"/>
      <c r="AH92" s="121"/>
      <c r="AI92" s="121"/>
      <c r="AJ92" s="123"/>
      <c r="AK92" s="121"/>
      <c r="AL92" s="123"/>
      <c r="AM92" s="123"/>
      <c r="AN92" s="121"/>
      <c r="AO92" s="123"/>
      <c r="AP92" s="123"/>
      <c r="AQ92" s="123"/>
      <c r="AR92" s="121"/>
    </row>
    <row r="93" spans="2:44" ht="19.5" thickBot="1">
      <c r="B93" s="117"/>
      <c r="C93" s="75" t="s">
        <v>444</v>
      </c>
      <c r="D93" s="75">
        <v>790</v>
      </c>
      <c r="E93" s="75">
        <v>905</v>
      </c>
      <c r="F93" s="116"/>
      <c r="G93" s="116"/>
      <c r="H93" s="75">
        <v>140</v>
      </c>
      <c r="I93" s="116"/>
      <c r="J93" s="117"/>
      <c r="K93" s="117"/>
      <c r="L93" s="116"/>
      <c r="M93" s="116"/>
      <c r="N93" s="116"/>
      <c r="O93" s="71"/>
      <c r="P93" s="71"/>
      <c r="Q93" s="71"/>
      <c r="R93" s="125"/>
      <c r="S93" s="75" t="s">
        <v>444</v>
      </c>
      <c r="T93" s="116"/>
      <c r="U93" s="75">
        <v>433</v>
      </c>
      <c r="V93" s="75">
        <v>18</v>
      </c>
      <c r="W93" s="116"/>
      <c r="X93" s="117"/>
      <c r="Y93" s="117"/>
      <c r="Z93" s="117"/>
      <c r="AA93" s="116"/>
      <c r="AB93" s="116"/>
      <c r="AC93" s="117"/>
      <c r="AG93" s="122"/>
      <c r="AH93" s="120" t="s">
        <v>504</v>
      </c>
      <c r="AI93" s="120">
        <v>9</v>
      </c>
      <c r="AJ93" s="123"/>
      <c r="AK93" s="120">
        <v>51.5</v>
      </c>
      <c r="AL93" s="123"/>
      <c r="AM93" s="123"/>
      <c r="AN93" s="120">
        <v>48</v>
      </c>
      <c r="AO93" s="123"/>
      <c r="AP93" s="123"/>
      <c r="AQ93" s="123"/>
      <c r="AR93" s="120">
        <v>160</v>
      </c>
    </row>
    <row r="94" spans="2:44" ht="19.5" thickBot="1">
      <c r="B94" s="115" t="s">
        <v>451</v>
      </c>
      <c r="C94" s="75">
        <v>2</v>
      </c>
      <c r="D94" s="75">
        <v>800</v>
      </c>
      <c r="E94" s="75">
        <v>915</v>
      </c>
      <c r="F94" s="116"/>
      <c r="G94" s="116"/>
      <c r="H94" s="75">
        <v>110</v>
      </c>
      <c r="I94" s="116"/>
      <c r="J94" s="115">
        <v>305</v>
      </c>
      <c r="K94" s="115">
        <v>375</v>
      </c>
      <c r="L94" s="116"/>
      <c r="M94" s="116"/>
      <c r="N94" s="116"/>
      <c r="O94" s="71"/>
      <c r="P94" s="71"/>
      <c r="Q94" s="71"/>
      <c r="R94" s="124" t="s">
        <v>452</v>
      </c>
      <c r="S94" s="75">
        <v>2</v>
      </c>
      <c r="T94" s="116"/>
      <c r="U94" s="75">
        <v>420</v>
      </c>
      <c r="V94" s="75">
        <v>16</v>
      </c>
      <c r="W94" s="117"/>
      <c r="X94" s="115">
        <v>356</v>
      </c>
      <c r="Y94" s="115">
        <v>440</v>
      </c>
      <c r="Z94" s="115">
        <v>100</v>
      </c>
      <c r="AA94" s="116"/>
      <c r="AB94" s="116"/>
      <c r="AC94" s="115">
        <v>225</v>
      </c>
      <c r="AG94" s="119"/>
      <c r="AH94" s="121"/>
      <c r="AI94" s="123"/>
      <c r="AJ94" s="121"/>
      <c r="AK94" s="123"/>
      <c r="AL94" s="121"/>
      <c r="AM94" s="121"/>
      <c r="AN94" s="123"/>
      <c r="AO94" s="123"/>
      <c r="AP94" s="121"/>
      <c r="AQ94" s="121"/>
      <c r="AR94" s="121"/>
    </row>
    <row r="95" spans="2:44" ht="19.5" thickBot="1">
      <c r="B95" s="117"/>
      <c r="C95" s="75" t="s">
        <v>444</v>
      </c>
      <c r="D95" s="75">
        <v>830</v>
      </c>
      <c r="E95" s="75">
        <v>945</v>
      </c>
      <c r="F95" s="117"/>
      <c r="G95" s="117"/>
      <c r="H95" s="75">
        <v>140</v>
      </c>
      <c r="I95" s="116"/>
      <c r="J95" s="117"/>
      <c r="K95" s="117"/>
      <c r="L95" s="117"/>
      <c r="M95" s="117"/>
      <c r="N95" s="117"/>
      <c r="O95" s="71"/>
      <c r="P95" s="71"/>
      <c r="Q95" s="71"/>
      <c r="R95" s="125"/>
      <c r="S95" s="75" t="s">
        <v>444</v>
      </c>
      <c r="T95" s="117"/>
      <c r="U95" s="75">
        <v>450</v>
      </c>
      <c r="V95" s="115">
        <v>18</v>
      </c>
      <c r="W95" s="115">
        <v>18</v>
      </c>
      <c r="X95" s="116"/>
      <c r="Y95" s="116"/>
      <c r="Z95" s="116"/>
      <c r="AA95" s="116"/>
      <c r="AB95" s="116"/>
      <c r="AC95" s="116"/>
      <c r="AG95" s="118" t="s">
        <v>448</v>
      </c>
      <c r="AH95" s="120">
        <v>2</v>
      </c>
      <c r="AI95" s="123"/>
      <c r="AJ95" s="120"/>
      <c r="AK95" s="123"/>
      <c r="AL95" s="120">
        <v>20</v>
      </c>
      <c r="AM95" s="120">
        <v>365</v>
      </c>
      <c r="AN95" s="123"/>
      <c r="AO95" s="123"/>
      <c r="AP95" s="120">
        <v>48</v>
      </c>
      <c r="AQ95" s="120">
        <v>51.5</v>
      </c>
      <c r="AR95" s="120">
        <v>165</v>
      </c>
    </row>
    <row r="96" spans="2:44" ht="19.5" thickBot="1">
      <c r="B96" s="115" t="s">
        <v>452</v>
      </c>
      <c r="C96" s="75">
        <v>2</v>
      </c>
      <c r="D96" s="75">
        <v>810</v>
      </c>
      <c r="E96" s="75">
        <v>925</v>
      </c>
      <c r="F96" s="115">
        <v>575</v>
      </c>
      <c r="G96" s="115">
        <v>494</v>
      </c>
      <c r="H96" s="75">
        <v>110</v>
      </c>
      <c r="I96" s="117"/>
      <c r="J96" s="115">
        <v>311</v>
      </c>
      <c r="K96" s="115">
        <v>390</v>
      </c>
      <c r="L96" s="115">
        <v>100</v>
      </c>
      <c r="M96" s="115">
        <v>149</v>
      </c>
      <c r="N96" s="115">
        <v>161</v>
      </c>
      <c r="O96" s="71"/>
      <c r="P96" s="71"/>
      <c r="Q96" s="71"/>
      <c r="R96" s="124" t="s">
        <v>453</v>
      </c>
      <c r="S96" s="115" t="s">
        <v>485</v>
      </c>
      <c r="T96" s="115">
        <v>175</v>
      </c>
      <c r="U96" s="115">
        <v>496</v>
      </c>
      <c r="V96" s="117"/>
      <c r="W96" s="117"/>
      <c r="X96" s="117"/>
      <c r="Y96" s="117"/>
      <c r="Z96" s="116"/>
      <c r="AA96" s="117"/>
      <c r="AB96" s="117"/>
      <c r="AC96" s="117"/>
      <c r="AG96" s="122"/>
      <c r="AH96" s="123"/>
      <c r="AI96" s="123"/>
      <c r="AJ96" s="123"/>
      <c r="AK96" s="123"/>
      <c r="AL96" s="123"/>
      <c r="AM96" s="123"/>
      <c r="AN96" s="123"/>
      <c r="AO96" s="123"/>
      <c r="AP96" s="123"/>
      <c r="AQ96" s="123"/>
      <c r="AR96" s="123"/>
    </row>
    <row r="97" spans="2:44" ht="19.5" thickBot="1">
      <c r="B97" s="117"/>
      <c r="C97" s="75" t="s">
        <v>444</v>
      </c>
      <c r="D97" s="75">
        <v>840</v>
      </c>
      <c r="E97" s="75">
        <v>985</v>
      </c>
      <c r="F97" s="117"/>
      <c r="G97" s="117"/>
      <c r="H97" s="115">
        <v>140</v>
      </c>
      <c r="I97" s="115">
        <v>140</v>
      </c>
      <c r="J97" s="116"/>
      <c r="K97" s="116"/>
      <c r="L97" s="116"/>
      <c r="M97" s="117"/>
      <c r="N97" s="117"/>
      <c r="O97" s="71"/>
      <c r="P97" s="71"/>
      <c r="Q97" s="71"/>
      <c r="R97" s="126"/>
      <c r="S97" s="116"/>
      <c r="T97" s="116"/>
      <c r="U97" s="116"/>
      <c r="V97" s="115">
        <v>20</v>
      </c>
      <c r="W97" s="115">
        <v>20</v>
      </c>
      <c r="X97" s="115">
        <v>406</v>
      </c>
      <c r="Y97" s="115">
        <v>490</v>
      </c>
      <c r="Z97" s="116"/>
      <c r="AA97" s="115">
        <v>270</v>
      </c>
      <c r="AB97" s="115">
        <v>160</v>
      </c>
      <c r="AC97" s="115">
        <v>250</v>
      </c>
      <c r="AG97" s="122"/>
      <c r="AH97" s="121"/>
      <c r="AI97" s="123"/>
      <c r="AJ97" s="123"/>
      <c r="AK97" s="121"/>
      <c r="AL97" s="123"/>
      <c r="AM97" s="123"/>
      <c r="AN97" s="121"/>
      <c r="AO97" s="123"/>
      <c r="AP97" s="123"/>
      <c r="AQ97" s="123"/>
      <c r="AR97" s="121"/>
    </row>
    <row r="98" spans="2:44" ht="19.5" thickBot="1">
      <c r="B98" s="115" t="s">
        <v>453</v>
      </c>
      <c r="C98" s="75">
        <v>2</v>
      </c>
      <c r="D98" s="115">
        <v>915</v>
      </c>
      <c r="E98" s="115">
        <v>1060</v>
      </c>
      <c r="F98" s="115">
        <v>640</v>
      </c>
      <c r="G98" s="115">
        <v>554</v>
      </c>
      <c r="H98" s="116"/>
      <c r="I98" s="116"/>
      <c r="J98" s="116"/>
      <c r="K98" s="116"/>
      <c r="L98" s="116"/>
      <c r="M98" s="115">
        <v>168</v>
      </c>
      <c r="N98" s="115">
        <v>184</v>
      </c>
      <c r="O98" s="71"/>
      <c r="P98" s="71"/>
      <c r="Q98" s="71"/>
      <c r="R98" s="125"/>
      <c r="S98" s="117"/>
      <c r="T98" s="116"/>
      <c r="U98" s="116"/>
      <c r="V98" s="117"/>
      <c r="W98" s="117"/>
      <c r="X98" s="116"/>
      <c r="Y98" s="116"/>
      <c r="Z98" s="116"/>
      <c r="AA98" s="116"/>
      <c r="AB98" s="116"/>
      <c r="AC98" s="116"/>
      <c r="AG98" s="119"/>
      <c r="AH98" s="87">
        <v>4</v>
      </c>
      <c r="AI98" s="121"/>
      <c r="AJ98" s="123"/>
      <c r="AK98" s="87">
        <v>59</v>
      </c>
      <c r="AL98" s="123"/>
      <c r="AM98" s="123"/>
      <c r="AN98" s="87">
        <v>55</v>
      </c>
      <c r="AO98" s="123"/>
      <c r="AP98" s="123"/>
      <c r="AQ98" s="123"/>
      <c r="AR98" s="87">
        <v>175</v>
      </c>
    </row>
    <row r="99" spans="2:44" ht="19.5" thickBot="1">
      <c r="B99" s="116"/>
      <c r="C99" s="81" t="s">
        <v>454</v>
      </c>
      <c r="D99" s="116"/>
      <c r="E99" s="116"/>
      <c r="F99" s="116"/>
      <c r="G99" s="116"/>
      <c r="H99" s="116"/>
      <c r="I99" s="116"/>
      <c r="J99" s="116"/>
      <c r="K99" s="116"/>
      <c r="L99" s="116"/>
      <c r="M99" s="116"/>
      <c r="N99" s="116"/>
      <c r="O99" s="71"/>
      <c r="P99" s="71"/>
      <c r="Q99" s="71"/>
      <c r="R99" s="74" t="s">
        <v>455</v>
      </c>
      <c r="S99" s="75">
        <v>2</v>
      </c>
      <c r="T99" s="117"/>
      <c r="U99" s="117"/>
      <c r="V99" s="75">
        <v>18</v>
      </c>
      <c r="W99" s="75">
        <v>18</v>
      </c>
      <c r="X99" s="117"/>
      <c r="Y99" s="117"/>
      <c r="Z99" s="117"/>
      <c r="AA99" s="117"/>
      <c r="AB99" s="117"/>
      <c r="AC99" s="117"/>
      <c r="AG99" s="118" t="s">
        <v>508</v>
      </c>
      <c r="AH99" s="120">
        <v>2</v>
      </c>
      <c r="AI99" s="87">
        <v>10</v>
      </c>
      <c r="AJ99" s="123"/>
      <c r="AK99" s="120">
        <v>51.5</v>
      </c>
      <c r="AL99" s="123"/>
      <c r="AM99" s="123"/>
      <c r="AN99" s="120">
        <v>48</v>
      </c>
      <c r="AO99" s="123"/>
      <c r="AP99" s="123"/>
      <c r="AQ99" s="123"/>
      <c r="AR99" s="120">
        <v>185</v>
      </c>
    </row>
    <row r="100" spans="2:44" ht="19.5" thickBot="1">
      <c r="B100" s="117"/>
      <c r="C100" s="75">
        <v>8.1</v>
      </c>
      <c r="D100" s="117"/>
      <c r="E100" s="117"/>
      <c r="F100" s="116"/>
      <c r="G100" s="116"/>
      <c r="H100" s="116"/>
      <c r="I100" s="116"/>
      <c r="J100" s="117"/>
      <c r="K100" s="117"/>
      <c r="L100" s="116"/>
      <c r="M100" s="116"/>
      <c r="N100" s="116"/>
      <c r="O100" s="71"/>
      <c r="P100" s="71"/>
      <c r="Q100" s="71"/>
      <c r="R100" s="71"/>
      <c r="S100" s="71"/>
      <c r="T100" s="71"/>
      <c r="U100" s="71"/>
      <c r="V100" s="71"/>
      <c r="W100" s="71"/>
      <c r="X100" s="71"/>
      <c r="AG100" s="122"/>
      <c r="AH100" s="121"/>
      <c r="AI100" s="87">
        <v>9</v>
      </c>
      <c r="AJ100" s="123"/>
      <c r="AK100" s="121"/>
      <c r="AL100" s="123"/>
      <c r="AM100" s="123"/>
      <c r="AN100" s="121"/>
      <c r="AO100" s="123"/>
      <c r="AP100" s="123"/>
      <c r="AQ100" s="123"/>
      <c r="AR100" s="121"/>
    </row>
    <row r="101" spans="2:44" ht="19.5" thickBot="1">
      <c r="B101" s="83" t="s">
        <v>455</v>
      </c>
      <c r="C101" s="75">
        <v>2</v>
      </c>
      <c r="D101" s="75">
        <v>955</v>
      </c>
      <c r="E101" s="75">
        <v>1100</v>
      </c>
      <c r="F101" s="117"/>
      <c r="G101" s="117"/>
      <c r="H101" s="117"/>
      <c r="I101" s="117"/>
      <c r="J101" s="75">
        <v>349</v>
      </c>
      <c r="K101" s="75">
        <v>430</v>
      </c>
      <c r="L101" s="117"/>
      <c r="M101" s="117"/>
      <c r="N101" s="117"/>
      <c r="O101" s="71"/>
      <c r="P101" s="71"/>
      <c r="Q101" s="71"/>
      <c r="R101" s="71"/>
      <c r="S101" s="71"/>
      <c r="T101" s="71"/>
      <c r="U101" s="71"/>
      <c r="V101" s="71"/>
      <c r="W101" s="71"/>
      <c r="X101" s="71"/>
      <c r="AG101" s="122"/>
      <c r="AH101" s="120" t="s">
        <v>504</v>
      </c>
      <c r="AI101" s="120">
        <v>10</v>
      </c>
      <c r="AJ101" s="123"/>
      <c r="AK101" s="120">
        <v>59</v>
      </c>
      <c r="AL101" s="123"/>
      <c r="AM101" s="123"/>
      <c r="AN101" s="120">
        <v>55</v>
      </c>
      <c r="AO101" s="123"/>
      <c r="AP101" s="123"/>
      <c r="AQ101" s="123"/>
      <c r="AR101" s="120">
        <v>195</v>
      </c>
    </row>
    <row r="102" spans="2:44" ht="15.75" thickBot="1">
      <c r="AG102" s="119"/>
      <c r="AH102" s="121"/>
      <c r="AI102" s="123"/>
      <c r="AJ102" s="121"/>
      <c r="AK102" s="123"/>
      <c r="AL102" s="121"/>
      <c r="AM102" s="121"/>
      <c r="AN102" s="123"/>
      <c r="AO102" s="121"/>
      <c r="AP102" s="121"/>
      <c r="AQ102" s="121"/>
      <c r="AR102" s="121"/>
    </row>
    <row r="103" spans="2:44" ht="15.75" thickBot="1">
      <c r="AG103" s="118" t="s">
        <v>509</v>
      </c>
      <c r="AH103" s="87">
        <v>2</v>
      </c>
      <c r="AI103" s="121"/>
      <c r="AJ103" s="120">
        <v>10</v>
      </c>
      <c r="AK103" s="121"/>
      <c r="AL103" s="120">
        <v>25</v>
      </c>
      <c r="AM103" s="120">
        <v>425</v>
      </c>
      <c r="AN103" s="121"/>
      <c r="AO103" s="120">
        <v>19</v>
      </c>
      <c r="AP103" s="120">
        <v>55</v>
      </c>
      <c r="AQ103" s="120">
        <v>59</v>
      </c>
      <c r="AR103" s="87">
        <v>255</v>
      </c>
    </row>
    <row r="104" spans="2:44">
      <c r="AG104" s="122"/>
      <c r="AH104" s="120" t="s">
        <v>504</v>
      </c>
      <c r="AI104" s="120">
        <v>11</v>
      </c>
      <c r="AJ104" s="123"/>
      <c r="AK104" s="120">
        <v>64</v>
      </c>
      <c r="AL104" s="123"/>
      <c r="AM104" s="123"/>
      <c r="AN104" s="120">
        <v>60</v>
      </c>
      <c r="AO104" s="123"/>
      <c r="AP104" s="123"/>
      <c r="AQ104" s="123"/>
      <c r="AR104" s="120">
        <v>270</v>
      </c>
    </row>
    <row r="105" spans="2:44" ht="15.75" thickBot="1">
      <c r="AG105" s="119"/>
      <c r="AH105" s="121"/>
      <c r="AI105" s="121"/>
      <c r="AJ105" s="123"/>
      <c r="AK105" s="121"/>
      <c r="AL105" s="123"/>
      <c r="AM105" s="123"/>
      <c r="AN105" s="121"/>
      <c r="AO105" s="123"/>
      <c r="AP105" s="123"/>
      <c r="AQ105" s="123"/>
      <c r="AR105" s="121"/>
    </row>
    <row r="106" spans="2:44" ht="15.75" thickBot="1">
      <c r="AG106" s="118" t="s">
        <v>451</v>
      </c>
      <c r="AH106" s="87">
        <v>2</v>
      </c>
      <c r="AI106" s="87">
        <v>10</v>
      </c>
      <c r="AJ106" s="123"/>
      <c r="AK106" s="87">
        <v>59</v>
      </c>
      <c r="AL106" s="123"/>
      <c r="AM106" s="123"/>
      <c r="AN106" s="87">
        <v>55</v>
      </c>
      <c r="AO106" s="123"/>
      <c r="AP106" s="123"/>
      <c r="AQ106" s="123"/>
      <c r="AR106" s="87">
        <v>280</v>
      </c>
    </row>
    <row r="107" spans="2:44" ht="15.75" thickBot="1">
      <c r="AG107" s="119"/>
      <c r="AH107" s="87" t="s">
        <v>504</v>
      </c>
      <c r="AI107" s="87">
        <v>11</v>
      </c>
      <c r="AJ107" s="123"/>
      <c r="AK107" s="87">
        <v>64</v>
      </c>
      <c r="AL107" s="121"/>
      <c r="AM107" s="121"/>
      <c r="AN107" s="87">
        <v>60</v>
      </c>
      <c r="AO107" s="123"/>
      <c r="AP107" s="123"/>
      <c r="AQ107" s="123"/>
      <c r="AR107" s="87">
        <v>310</v>
      </c>
    </row>
    <row r="108" spans="2:44">
      <c r="AG108" s="118" t="s">
        <v>510</v>
      </c>
      <c r="AH108" s="120">
        <v>2</v>
      </c>
      <c r="AI108" s="120">
        <v>10</v>
      </c>
      <c r="AJ108" s="123"/>
      <c r="AK108" s="120">
        <v>59</v>
      </c>
      <c r="AL108" s="120">
        <v>28</v>
      </c>
      <c r="AM108" s="120">
        <v>480</v>
      </c>
      <c r="AN108" s="120">
        <v>55</v>
      </c>
      <c r="AO108" s="123"/>
      <c r="AP108" s="123"/>
      <c r="AQ108" s="123"/>
      <c r="AR108" s="120">
        <v>355</v>
      </c>
    </row>
    <row r="109" spans="2:44" ht="15.75" thickBot="1">
      <c r="AG109" s="122"/>
      <c r="AH109" s="121"/>
      <c r="AI109" s="121"/>
      <c r="AJ109" s="121"/>
      <c r="AK109" s="121"/>
      <c r="AL109" s="123"/>
      <c r="AM109" s="123"/>
      <c r="AN109" s="121"/>
      <c r="AO109" s="123"/>
      <c r="AP109" s="121"/>
      <c r="AQ109" s="121"/>
      <c r="AR109" s="123"/>
    </row>
    <row r="110" spans="2:44">
      <c r="AG110" s="122"/>
      <c r="AH110" s="120" t="s">
        <v>504</v>
      </c>
      <c r="AI110" s="120">
        <v>11</v>
      </c>
      <c r="AJ110" s="120">
        <v>11</v>
      </c>
      <c r="AK110" s="120">
        <v>69</v>
      </c>
      <c r="AL110" s="123"/>
      <c r="AM110" s="123"/>
      <c r="AN110" s="120">
        <v>65</v>
      </c>
      <c r="AO110" s="123"/>
      <c r="AP110" s="120">
        <v>60</v>
      </c>
      <c r="AQ110" s="120">
        <v>64</v>
      </c>
      <c r="AR110" s="123"/>
    </row>
    <row r="111" spans="2:44" ht="15.75" thickBot="1">
      <c r="AG111" s="119"/>
      <c r="AH111" s="121"/>
      <c r="AI111" s="123"/>
      <c r="AJ111" s="123"/>
      <c r="AK111" s="123"/>
      <c r="AL111" s="121"/>
      <c r="AM111" s="121"/>
      <c r="AN111" s="123"/>
      <c r="AO111" s="121"/>
      <c r="AP111" s="121"/>
      <c r="AQ111" s="121"/>
      <c r="AR111" s="121"/>
    </row>
    <row r="112" spans="2:44" ht="15.75" thickBot="1">
      <c r="AG112" s="118" t="s">
        <v>453</v>
      </c>
      <c r="AH112" s="87">
        <v>2</v>
      </c>
      <c r="AI112" s="121"/>
      <c r="AJ112" s="121"/>
      <c r="AK112" s="121"/>
      <c r="AL112" s="120">
        <v>30</v>
      </c>
      <c r="AM112" s="120">
        <v>530</v>
      </c>
      <c r="AN112" s="121"/>
      <c r="AO112" s="120">
        <v>24</v>
      </c>
      <c r="AP112" s="87">
        <v>65</v>
      </c>
      <c r="AQ112" s="87">
        <v>69</v>
      </c>
      <c r="AR112" s="87">
        <v>470</v>
      </c>
    </row>
    <row r="113" spans="33:44">
      <c r="AG113" s="122"/>
      <c r="AH113" s="120" t="s">
        <v>511</v>
      </c>
      <c r="AI113" s="120">
        <v>12</v>
      </c>
      <c r="AJ113" s="120">
        <v>12</v>
      </c>
      <c r="AK113" s="120">
        <v>79.5</v>
      </c>
      <c r="AL113" s="123"/>
      <c r="AM113" s="123"/>
      <c r="AN113" s="120">
        <v>75</v>
      </c>
      <c r="AO113" s="123"/>
      <c r="AP113" s="120">
        <v>70</v>
      </c>
      <c r="AQ113" s="120">
        <v>74.5</v>
      </c>
      <c r="AR113" s="120">
        <v>490</v>
      </c>
    </row>
    <row r="114" spans="33:44" ht="15.75" thickBot="1">
      <c r="AG114" s="119"/>
      <c r="AH114" s="121"/>
      <c r="AI114" s="121"/>
      <c r="AJ114" s="121"/>
      <c r="AK114" s="121"/>
      <c r="AL114" s="123"/>
      <c r="AM114" s="123"/>
      <c r="AN114" s="121"/>
      <c r="AO114" s="123"/>
      <c r="AP114" s="121"/>
      <c r="AQ114" s="121"/>
      <c r="AR114" s="121"/>
    </row>
    <row r="115" spans="33:44" ht="15.75" thickBot="1">
      <c r="AG115" s="118" t="s">
        <v>512</v>
      </c>
      <c r="AH115" s="87">
        <v>2</v>
      </c>
      <c r="AI115" s="87">
        <v>11</v>
      </c>
      <c r="AJ115" s="87">
        <v>11</v>
      </c>
      <c r="AK115" s="87">
        <v>69</v>
      </c>
      <c r="AL115" s="123"/>
      <c r="AM115" s="123"/>
      <c r="AN115" s="87">
        <v>65</v>
      </c>
      <c r="AO115" s="123"/>
      <c r="AP115" s="87">
        <v>65</v>
      </c>
      <c r="AQ115" s="87">
        <v>69</v>
      </c>
      <c r="AR115" s="87">
        <v>510</v>
      </c>
    </row>
    <row r="116" spans="33:44" ht="15.75" thickBot="1">
      <c r="AG116" s="119"/>
      <c r="AH116" s="87" t="s">
        <v>504</v>
      </c>
      <c r="AI116" s="87">
        <v>12</v>
      </c>
      <c r="AJ116" s="87">
        <v>12</v>
      </c>
      <c r="AK116" s="87">
        <v>79.5</v>
      </c>
      <c r="AL116" s="121"/>
      <c r="AM116" s="121"/>
      <c r="AN116" s="87">
        <v>75</v>
      </c>
      <c r="AO116" s="121"/>
      <c r="AP116" s="87">
        <v>70</v>
      </c>
      <c r="AQ116" s="87">
        <v>74.5</v>
      </c>
      <c r="AR116" s="87">
        <v>535</v>
      </c>
    </row>
    <row r="168" spans="2:66" ht="15.75" thickBot="1"/>
    <row r="169" spans="2:66" ht="37.5" customHeight="1" thickBot="1">
      <c r="B169" s="155" t="s">
        <v>588</v>
      </c>
      <c r="C169" s="158" t="s">
        <v>514</v>
      </c>
      <c r="D169" s="159"/>
      <c r="E169" s="159"/>
      <c r="F169" s="159"/>
      <c r="G169" s="159"/>
      <c r="H169" s="159"/>
      <c r="I169" s="159"/>
      <c r="J169" s="159"/>
      <c r="K169" s="159"/>
      <c r="L169" s="159"/>
      <c r="M169" s="159"/>
      <c r="N169" s="159"/>
      <c r="O169" s="159"/>
      <c r="P169" s="160"/>
      <c r="AC169" s="164" t="s">
        <v>616</v>
      </c>
      <c r="AD169" s="161" t="s">
        <v>514</v>
      </c>
      <c r="AE169" s="162"/>
      <c r="AF169" s="162"/>
      <c r="AG169" s="162"/>
      <c r="AH169" s="162"/>
      <c r="AI169" s="162"/>
      <c r="AJ169" s="162"/>
      <c r="AK169" s="162"/>
      <c r="AL169" s="162"/>
      <c r="AM169" s="162"/>
      <c r="AN169" s="163"/>
      <c r="AQ169" s="164" t="s">
        <v>616</v>
      </c>
      <c r="AR169" s="161" t="s">
        <v>514</v>
      </c>
      <c r="AS169" s="162"/>
      <c r="AT169" s="162"/>
      <c r="AU169" s="162"/>
      <c r="AV169" s="162"/>
      <c r="AW169" s="162"/>
      <c r="AX169" s="162"/>
      <c r="AY169" s="162"/>
      <c r="AZ169" s="162"/>
      <c r="BA169" s="163"/>
      <c r="BD169" s="173" t="s">
        <v>588</v>
      </c>
      <c r="BE169" s="170" t="s">
        <v>514</v>
      </c>
      <c r="BF169" s="171"/>
      <c r="BG169" s="171"/>
      <c r="BH169" s="171"/>
      <c r="BI169" s="171"/>
      <c r="BJ169" s="172"/>
      <c r="BK169" s="173" t="s">
        <v>624</v>
      </c>
      <c r="BL169" s="170" t="s">
        <v>625</v>
      </c>
      <c r="BM169" s="172"/>
      <c r="BN169" s="173" t="s">
        <v>608</v>
      </c>
    </row>
    <row r="170" spans="2:66" ht="15.75" customHeight="1" thickBot="1">
      <c r="B170" s="156"/>
      <c r="C170" s="158" t="s">
        <v>258</v>
      </c>
      <c r="D170" s="159"/>
      <c r="E170" s="159"/>
      <c r="F170" s="159"/>
      <c r="G170" s="159"/>
      <c r="H170" s="159"/>
      <c r="I170" s="159"/>
      <c r="J170" s="159"/>
      <c r="K170" s="160"/>
      <c r="L170" s="158" t="s">
        <v>259</v>
      </c>
      <c r="M170" s="159"/>
      <c r="N170" s="159"/>
      <c r="O170" s="159"/>
      <c r="P170" s="160"/>
      <c r="AC170" s="165"/>
      <c r="AD170" s="161" t="s">
        <v>258</v>
      </c>
      <c r="AE170" s="162"/>
      <c r="AF170" s="162"/>
      <c r="AG170" s="162"/>
      <c r="AH170" s="162"/>
      <c r="AI170" s="162"/>
      <c r="AJ170" s="162"/>
      <c r="AK170" s="162"/>
      <c r="AL170" s="162"/>
      <c r="AM170" s="162"/>
      <c r="AN170" s="163"/>
      <c r="AQ170" s="165"/>
      <c r="AR170" s="161" t="s">
        <v>258</v>
      </c>
      <c r="AS170" s="162"/>
      <c r="AT170" s="163"/>
      <c r="AU170" s="161" t="s">
        <v>259</v>
      </c>
      <c r="AV170" s="162"/>
      <c r="AW170" s="162"/>
      <c r="AX170" s="162"/>
      <c r="AY170" s="162"/>
      <c r="AZ170" s="162"/>
      <c r="BA170" s="163"/>
      <c r="BD170" s="174"/>
      <c r="BE170" s="170" t="s">
        <v>609</v>
      </c>
      <c r="BF170" s="171"/>
      <c r="BG170" s="171"/>
      <c r="BH170" s="171"/>
      <c r="BI170" s="171"/>
      <c r="BJ170" s="172"/>
      <c r="BK170" s="174"/>
      <c r="BL170" s="173" t="s">
        <v>626</v>
      </c>
      <c r="BM170" s="173" t="s">
        <v>627</v>
      </c>
      <c r="BN170" s="174"/>
    </row>
    <row r="171" spans="2:66" ht="15.75" thickBot="1">
      <c r="B171" s="157"/>
      <c r="C171" s="89" t="s">
        <v>515</v>
      </c>
      <c r="D171" s="89" t="s">
        <v>516</v>
      </c>
      <c r="E171" s="89" t="s">
        <v>517</v>
      </c>
      <c r="F171" s="89" t="s">
        <v>518</v>
      </c>
      <c r="G171" s="89" t="s">
        <v>519</v>
      </c>
      <c r="H171" s="89" t="s">
        <v>521</v>
      </c>
      <c r="I171" s="89" t="s">
        <v>522</v>
      </c>
      <c r="J171" s="89" t="s">
        <v>589</v>
      </c>
      <c r="K171" s="89" t="s">
        <v>590</v>
      </c>
      <c r="L171" s="89" t="s">
        <v>516</v>
      </c>
      <c r="M171" s="89" t="s">
        <v>591</v>
      </c>
      <c r="N171" s="89" t="s">
        <v>592</v>
      </c>
      <c r="O171" s="89" t="s">
        <v>593</v>
      </c>
      <c r="P171" s="89" t="s">
        <v>594</v>
      </c>
      <c r="AC171" s="166"/>
      <c r="AD171" s="94" t="s">
        <v>515</v>
      </c>
      <c r="AE171" s="94" t="s">
        <v>516</v>
      </c>
      <c r="AF171" s="94" t="s">
        <v>517</v>
      </c>
      <c r="AG171" s="94" t="s">
        <v>518</v>
      </c>
      <c r="AH171" s="94" t="s">
        <v>519</v>
      </c>
      <c r="AI171" s="94" t="s">
        <v>520</v>
      </c>
      <c r="AJ171" s="94" t="s">
        <v>521</v>
      </c>
      <c r="AK171" s="94" t="s">
        <v>522</v>
      </c>
      <c r="AL171" s="94" t="s">
        <v>523</v>
      </c>
      <c r="AM171" s="94" t="s">
        <v>524</v>
      </c>
      <c r="AN171" s="94" t="s">
        <v>525</v>
      </c>
      <c r="AQ171" s="166"/>
      <c r="AR171" s="94" t="s">
        <v>617</v>
      </c>
      <c r="AS171" s="94" t="s">
        <v>590</v>
      </c>
      <c r="AT171" s="94" t="s">
        <v>615</v>
      </c>
      <c r="AU171" s="94" t="s">
        <v>618</v>
      </c>
      <c r="AV171" s="94" t="s">
        <v>591</v>
      </c>
      <c r="AW171" s="94" t="s">
        <v>592</v>
      </c>
      <c r="AX171" s="94" t="s">
        <v>593</v>
      </c>
      <c r="AY171" s="94" t="s">
        <v>594</v>
      </c>
      <c r="AZ171" s="94" t="s">
        <v>619</v>
      </c>
      <c r="BA171" s="94" t="s">
        <v>620</v>
      </c>
      <c r="BD171" s="175"/>
      <c r="BE171" s="96" t="s">
        <v>628</v>
      </c>
      <c r="BF171" s="96" t="s">
        <v>629</v>
      </c>
      <c r="BG171" s="96" t="s">
        <v>630</v>
      </c>
      <c r="BH171" s="96" t="s">
        <v>631</v>
      </c>
      <c r="BI171" s="96" t="s">
        <v>632</v>
      </c>
      <c r="BJ171" s="96" t="s">
        <v>633</v>
      </c>
      <c r="BK171" s="175"/>
      <c r="BL171" s="175"/>
      <c r="BM171" s="175"/>
      <c r="BN171" s="175"/>
    </row>
    <row r="172" spans="2:66" ht="15.75" thickBot="1">
      <c r="B172" s="90" t="s">
        <v>595</v>
      </c>
      <c r="C172" s="155">
        <v>89</v>
      </c>
      <c r="D172" s="155">
        <v>89</v>
      </c>
      <c r="E172" s="155">
        <v>84</v>
      </c>
      <c r="F172" s="155">
        <v>80</v>
      </c>
      <c r="G172" s="155">
        <v>48</v>
      </c>
      <c r="H172" s="89">
        <v>47</v>
      </c>
      <c r="I172" s="155">
        <v>32</v>
      </c>
      <c r="J172" s="155">
        <v>28</v>
      </c>
      <c r="K172" s="155">
        <v>14</v>
      </c>
      <c r="L172" s="155">
        <v>47.5</v>
      </c>
      <c r="M172" s="155">
        <v>17</v>
      </c>
      <c r="N172" s="155">
        <v>17</v>
      </c>
      <c r="O172" s="89">
        <v>47</v>
      </c>
      <c r="P172" s="155">
        <v>18</v>
      </c>
      <c r="AC172" s="93" t="s">
        <v>526</v>
      </c>
      <c r="AD172" s="164">
        <v>116</v>
      </c>
      <c r="AE172" s="164">
        <v>116</v>
      </c>
      <c r="AF172" s="164">
        <v>102</v>
      </c>
      <c r="AG172" s="164">
        <v>70</v>
      </c>
      <c r="AH172" s="164">
        <v>65</v>
      </c>
      <c r="AI172" s="164" t="s">
        <v>527</v>
      </c>
      <c r="AJ172" s="94">
        <v>65</v>
      </c>
      <c r="AK172" s="164">
        <v>42</v>
      </c>
      <c r="AL172" s="164">
        <v>42</v>
      </c>
      <c r="AM172" s="164">
        <v>10</v>
      </c>
      <c r="AN172" s="164">
        <v>10</v>
      </c>
      <c r="AQ172" s="93" t="s">
        <v>526</v>
      </c>
      <c r="AR172" s="164">
        <v>10</v>
      </c>
      <c r="AS172" s="164">
        <v>13</v>
      </c>
      <c r="AT172" s="164">
        <v>4</v>
      </c>
      <c r="AU172" s="164">
        <v>64.3</v>
      </c>
      <c r="AV172" s="164">
        <v>27</v>
      </c>
      <c r="AW172" s="164">
        <v>27</v>
      </c>
      <c r="AX172" s="94">
        <v>65</v>
      </c>
      <c r="AY172" s="164">
        <v>22</v>
      </c>
      <c r="AZ172" s="164">
        <v>5</v>
      </c>
      <c r="BA172" s="164">
        <v>29.1</v>
      </c>
      <c r="BD172" s="97" t="s">
        <v>526</v>
      </c>
      <c r="BE172" s="173">
        <v>134</v>
      </c>
      <c r="BF172" s="173">
        <v>25</v>
      </c>
      <c r="BG172" s="173">
        <v>25</v>
      </c>
      <c r="BH172" s="173">
        <v>30</v>
      </c>
      <c r="BI172" s="173">
        <v>49</v>
      </c>
      <c r="BJ172" s="173">
        <v>25</v>
      </c>
      <c r="BK172" s="173">
        <v>3.6999999999999998E-2</v>
      </c>
      <c r="BL172" s="173">
        <v>2.5000000000000001E-3</v>
      </c>
      <c r="BM172" s="173">
        <v>3.5000000000000001E-3</v>
      </c>
      <c r="BN172" s="96">
        <v>5.7</v>
      </c>
    </row>
    <row r="173" spans="2:66" ht="15.75" thickBot="1">
      <c r="B173" s="90" t="s">
        <v>596</v>
      </c>
      <c r="C173" s="156"/>
      <c r="D173" s="156"/>
      <c r="E173" s="156"/>
      <c r="F173" s="156"/>
      <c r="G173" s="157"/>
      <c r="H173" s="89">
        <v>56</v>
      </c>
      <c r="I173" s="157"/>
      <c r="J173" s="157"/>
      <c r="K173" s="156"/>
      <c r="L173" s="157"/>
      <c r="M173" s="156"/>
      <c r="N173" s="156"/>
      <c r="O173" s="89">
        <v>56</v>
      </c>
      <c r="P173" s="156"/>
      <c r="AC173" s="93" t="s">
        <v>528</v>
      </c>
      <c r="AD173" s="165"/>
      <c r="AE173" s="165"/>
      <c r="AF173" s="165"/>
      <c r="AG173" s="166"/>
      <c r="AH173" s="166"/>
      <c r="AI173" s="165"/>
      <c r="AJ173" s="94">
        <v>74</v>
      </c>
      <c r="AK173" s="166"/>
      <c r="AL173" s="166"/>
      <c r="AM173" s="165"/>
      <c r="AN173" s="165"/>
      <c r="AQ173" s="93" t="s">
        <v>528</v>
      </c>
      <c r="AR173" s="165"/>
      <c r="AS173" s="165"/>
      <c r="AT173" s="165"/>
      <c r="AU173" s="166"/>
      <c r="AV173" s="165"/>
      <c r="AW173" s="165"/>
      <c r="AX173" s="94">
        <v>74</v>
      </c>
      <c r="AY173" s="165"/>
      <c r="AZ173" s="165"/>
      <c r="BA173" s="165"/>
      <c r="BD173" s="97" t="s">
        <v>528</v>
      </c>
      <c r="BE173" s="174"/>
      <c r="BF173" s="174"/>
      <c r="BG173" s="174"/>
      <c r="BH173" s="174"/>
      <c r="BI173" s="174"/>
      <c r="BJ173" s="174"/>
      <c r="BK173" s="175"/>
      <c r="BL173" s="174"/>
      <c r="BM173" s="174"/>
      <c r="BN173" s="96">
        <v>6.4</v>
      </c>
    </row>
    <row r="174" spans="2:66" ht="15.75" thickBot="1">
      <c r="B174" s="90" t="s">
        <v>597</v>
      </c>
      <c r="C174" s="156"/>
      <c r="D174" s="156"/>
      <c r="E174" s="156"/>
      <c r="F174" s="156"/>
      <c r="G174" s="155">
        <v>55</v>
      </c>
      <c r="H174" s="89">
        <v>47</v>
      </c>
      <c r="I174" s="155">
        <v>28</v>
      </c>
      <c r="J174" s="155">
        <v>24</v>
      </c>
      <c r="K174" s="156"/>
      <c r="L174" s="155">
        <v>54.5</v>
      </c>
      <c r="M174" s="156"/>
      <c r="N174" s="156"/>
      <c r="O174" s="89">
        <v>47</v>
      </c>
      <c r="P174" s="156"/>
      <c r="AC174" s="93" t="s">
        <v>529</v>
      </c>
      <c r="AD174" s="165"/>
      <c r="AE174" s="165"/>
      <c r="AF174" s="165"/>
      <c r="AG174" s="164">
        <v>75</v>
      </c>
      <c r="AH174" s="164">
        <v>70</v>
      </c>
      <c r="AI174" s="165"/>
      <c r="AJ174" s="94">
        <v>65</v>
      </c>
      <c r="AK174" s="164">
        <v>40</v>
      </c>
      <c r="AL174" s="164">
        <v>40</v>
      </c>
      <c r="AM174" s="165"/>
      <c r="AN174" s="165"/>
      <c r="AQ174" s="93" t="s">
        <v>529</v>
      </c>
      <c r="AR174" s="165"/>
      <c r="AS174" s="165"/>
      <c r="AT174" s="165"/>
      <c r="AU174" s="164">
        <v>69.5</v>
      </c>
      <c r="AV174" s="165"/>
      <c r="AW174" s="165"/>
      <c r="AX174" s="94">
        <v>65</v>
      </c>
      <c r="AY174" s="165"/>
      <c r="AZ174" s="165"/>
      <c r="BA174" s="165"/>
      <c r="BD174" s="97" t="s">
        <v>529</v>
      </c>
      <c r="BE174" s="174"/>
      <c r="BF174" s="174"/>
      <c r="BG174" s="174"/>
      <c r="BH174" s="174"/>
      <c r="BI174" s="174"/>
      <c r="BJ174" s="174"/>
      <c r="BK174" s="173">
        <v>1.7999999999999999E-2</v>
      </c>
      <c r="BL174" s="174"/>
      <c r="BM174" s="174"/>
      <c r="BN174" s="96">
        <v>5.4</v>
      </c>
    </row>
    <row r="175" spans="2:66" ht="15.75" thickBot="1">
      <c r="B175" s="90" t="s">
        <v>598</v>
      </c>
      <c r="C175" s="157"/>
      <c r="D175" s="157"/>
      <c r="E175" s="157"/>
      <c r="F175" s="157"/>
      <c r="G175" s="157"/>
      <c r="H175" s="155">
        <v>56</v>
      </c>
      <c r="I175" s="157"/>
      <c r="J175" s="157"/>
      <c r="K175" s="156"/>
      <c r="L175" s="157"/>
      <c r="M175" s="157"/>
      <c r="N175" s="157"/>
      <c r="O175" s="155">
        <v>56</v>
      </c>
      <c r="P175" s="157"/>
      <c r="AC175" s="93" t="s">
        <v>530</v>
      </c>
      <c r="AD175" s="166"/>
      <c r="AE175" s="166"/>
      <c r="AF175" s="166"/>
      <c r="AG175" s="166"/>
      <c r="AH175" s="166"/>
      <c r="AI175" s="165"/>
      <c r="AJ175" s="94">
        <v>74</v>
      </c>
      <c r="AK175" s="166"/>
      <c r="AL175" s="166"/>
      <c r="AM175" s="166"/>
      <c r="AN175" s="166"/>
      <c r="AQ175" s="93" t="s">
        <v>530</v>
      </c>
      <c r="AR175" s="166"/>
      <c r="AS175" s="166"/>
      <c r="AT175" s="166"/>
      <c r="AU175" s="166"/>
      <c r="AV175" s="166"/>
      <c r="AW175" s="166"/>
      <c r="AX175" s="94">
        <v>74</v>
      </c>
      <c r="AY175" s="166"/>
      <c r="AZ175" s="166"/>
      <c r="BA175" s="166"/>
      <c r="BD175" s="97" t="s">
        <v>530</v>
      </c>
      <c r="BE175" s="175"/>
      <c r="BF175" s="175"/>
      <c r="BG175" s="175"/>
      <c r="BH175" s="175"/>
      <c r="BI175" s="175"/>
      <c r="BJ175" s="175"/>
      <c r="BK175" s="175"/>
      <c r="BL175" s="175"/>
      <c r="BM175" s="175"/>
      <c r="BN175" s="96">
        <v>6.2</v>
      </c>
    </row>
    <row r="176" spans="2:66" ht="15.75" thickBot="1">
      <c r="B176" s="90" t="s">
        <v>599</v>
      </c>
      <c r="C176" s="155">
        <v>100</v>
      </c>
      <c r="D176" s="155">
        <v>100</v>
      </c>
      <c r="E176" s="155">
        <v>95</v>
      </c>
      <c r="F176" s="155">
        <v>90</v>
      </c>
      <c r="G176" s="155">
        <v>54</v>
      </c>
      <c r="H176" s="157"/>
      <c r="I176" s="155">
        <v>35</v>
      </c>
      <c r="J176" s="155">
        <v>31</v>
      </c>
      <c r="K176" s="156"/>
      <c r="L176" s="155">
        <v>53.4</v>
      </c>
      <c r="M176" s="155">
        <v>20</v>
      </c>
      <c r="N176" s="155">
        <v>20</v>
      </c>
      <c r="O176" s="157"/>
      <c r="P176" s="155">
        <v>20</v>
      </c>
      <c r="AC176" s="93" t="s">
        <v>531</v>
      </c>
      <c r="AD176" s="164">
        <v>116</v>
      </c>
      <c r="AE176" s="164">
        <v>116</v>
      </c>
      <c r="AF176" s="164">
        <v>102</v>
      </c>
      <c r="AG176" s="164">
        <v>82</v>
      </c>
      <c r="AH176" s="164">
        <v>76</v>
      </c>
      <c r="AI176" s="165"/>
      <c r="AJ176" s="94">
        <v>65</v>
      </c>
      <c r="AK176" s="164">
        <v>37</v>
      </c>
      <c r="AL176" s="164">
        <v>37</v>
      </c>
      <c r="AM176" s="164">
        <v>10</v>
      </c>
      <c r="AN176" s="164">
        <v>10</v>
      </c>
      <c r="AQ176" s="93" t="s">
        <v>531</v>
      </c>
      <c r="AR176" s="164">
        <v>10</v>
      </c>
      <c r="AS176" s="164">
        <v>13</v>
      </c>
      <c r="AT176" s="164">
        <v>4</v>
      </c>
      <c r="AU176" s="164">
        <v>75.5</v>
      </c>
      <c r="AV176" s="164">
        <v>27</v>
      </c>
      <c r="AW176" s="164">
        <v>27</v>
      </c>
      <c r="AX176" s="94">
        <v>65</v>
      </c>
      <c r="AY176" s="164">
        <v>16</v>
      </c>
      <c r="AZ176" s="164">
        <v>5</v>
      </c>
      <c r="BA176" s="164">
        <v>29.1</v>
      </c>
      <c r="BD176" s="97" t="s">
        <v>531</v>
      </c>
      <c r="BE176" s="173">
        <v>134</v>
      </c>
      <c r="BF176" s="173">
        <v>25</v>
      </c>
      <c r="BG176" s="173">
        <v>25</v>
      </c>
      <c r="BH176" s="173">
        <v>30</v>
      </c>
      <c r="BI176" s="173">
        <v>49</v>
      </c>
      <c r="BJ176" s="173">
        <v>25</v>
      </c>
      <c r="BK176" s="173">
        <v>1.2E-2</v>
      </c>
      <c r="BL176" s="173">
        <v>2.5000000000000001E-3</v>
      </c>
      <c r="BM176" s="173">
        <v>3.5000000000000001E-3</v>
      </c>
      <c r="BN176" s="96">
        <v>5.5</v>
      </c>
    </row>
    <row r="177" spans="2:66" ht="15.75" thickBot="1">
      <c r="B177" s="90" t="s">
        <v>600</v>
      </c>
      <c r="C177" s="156"/>
      <c r="D177" s="156"/>
      <c r="E177" s="156"/>
      <c r="F177" s="156"/>
      <c r="G177" s="157"/>
      <c r="H177" s="89">
        <v>65</v>
      </c>
      <c r="I177" s="157"/>
      <c r="J177" s="157"/>
      <c r="K177" s="156"/>
      <c r="L177" s="157"/>
      <c r="M177" s="156"/>
      <c r="N177" s="156"/>
      <c r="O177" s="89">
        <v>65</v>
      </c>
      <c r="P177" s="156"/>
      <c r="AC177" s="93" t="s">
        <v>532</v>
      </c>
      <c r="AD177" s="165"/>
      <c r="AE177" s="165"/>
      <c r="AF177" s="165"/>
      <c r="AG177" s="165"/>
      <c r="AH177" s="165"/>
      <c r="AI177" s="165"/>
      <c r="AJ177" s="94">
        <v>90</v>
      </c>
      <c r="AK177" s="166"/>
      <c r="AL177" s="166"/>
      <c r="AM177" s="165"/>
      <c r="AN177" s="165"/>
      <c r="AQ177" s="93" t="s">
        <v>532</v>
      </c>
      <c r="AR177" s="165"/>
      <c r="AS177" s="165"/>
      <c r="AT177" s="165"/>
      <c r="AU177" s="165"/>
      <c r="AV177" s="165"/>
      <c r="AW177" s="165"/>
      <c r="AX177" s="94">
        <v>90</v>
      </c>
      <c r="AY177" s="165"/>
      <c r="AZ177" s="165"/>
      <c r="BA177" s="165"/>
      <c r="BD177" s="97" t="s">
        <v>532</v>
      </c>
      <c r="BE177" s="174"/>
      <c r="BF177" s="174"/>
      <c r="BG177" s="174"/>
      <c r="BH177" s="174"/>
      <c r="BI177" s="174"/>
      <c r="BJ177" s="174"/>
      <c r="BK177" s="175"/>
      <c r="BL177" s="174"/>
      <c r="BM177" s="174"/>
      <c r="BN177" s="96">
        <v>6.8</v>
      </c>
    </row>
    <row r="178" spans="2:66" ht="15.75" thickBot="1">
      <c r="B178" s="90" t="s">
        <v>601</v>
      </c>
      <c r="C178" s="156"/>
      <c r="D178" s="156"/>
      <c r="E178" s="156"/>
      <c r="F178" s="156"/>
      <c r="G178" s="155">
        <v>61</v>
      </c>
      <c r="H178" s="89">
        <v>56</v>
      </c>
      <c r="I178" s="155">
        <v>28</v>
      </c>
      <c r="J178" s="155">
        <v>24</v>
      </c>
      <c r="K178" s="156"/>
      <c r="L178" s="155">
        <v>60.5</v>
      </c>
      <c r="M178" s="156"/>
      <c r="N178" s="156"/>
      <c r="O178" s="89">
        <v>56</v>
      </c>
      <c r="P178" s="156"/>
      <c r="AC178" s="93" t="s">
        <v>533</v>
      </c>
      <c r="AD178" s="166"/>
      <c r="AE178" s="166"/>
      <c r="AF178" s="166"/>
      <c r="AG178" s="166"/>
      <c r="AH178" s="166"/>
      <c r="AI178" s="165"/>
      <c r="AJ178" s="94">
        <v>74</v>
      </c>
      <c r="AK178" s="94">
        <v>35</v>
      </c>
      <c r="AL178" s="94">
        <v>35</v>
      </c>
      <c r="AM178" s="165"/>
      <c r="AN178" s="165"/>
      <c r="AQ178" s="93" t="s">
        <v>533</v>
      </c>
      <c r="AR178" s="165"/>
      <c r="AS178" s="166"/>
      <c r="AT178" s="165"/>
      <c r="AU178" s="166"/>
      <c r="AV178" s="166"/>
      <c r="AW178" s="166"/>
      <c r="AX178" s="94">
        <v>74</v>
      </c>
      <c r="AY178" s="166"/>
      <c r="AZ178" s="166"/>
      <c r="BA178" s="166"/>
      <c r="BD178" s="97" t="s">
        <v>533</v>
      </c>
      <c r="BE178" s="175"/>
      <c r="BF178" s="175"/>
      <c r="BG178" s="175"/>
      <c r="BH178" s="175"/>
      <c r="BI178" s="174"/>
      <c r="BJ178" s="174"/>
      <c r="BK178" s="96">
        <v>8.9999999999999993E-3</v>
      </c>
      <c r="BL178" s="175"/>
      <c r="BM178" s="174"/>
      <c r="BN178" s="96">
        <v>5.7</v>
      </c>
    </row>
    <row r="179" spans="2:66" ht="15.75" thickBot="1">
      <c r="B179" s="90" t="s">
        <v>602</v>
      </c>
      <c r="C179" s="156"/>
      <c r="D179" s="156"/>
      <c r="E179" s="156"/>
      <c r="F179" s="156"/>
      <c r="G179" s="157"/>
      <c r="H179" s="89">
        <v>65</v>
      </c>
      <c r="I179" s="156"/>
      <c r="J179" s="156"/>
      <c r="K179" s="156"/>
      <c r="L179" s="157"/>
      <c r="M179" s="156"/>
      <c r="N179" s="156"/>
      <c r="O179" s="89">
        <v>65</v>
      </c>
      <c r="P179" s="156"/>
      <c r="AC179" s="93" t="s">
        <v>534</v>
      </c>
      <c r="AD179" s="164">
        <v>131</v>
      </c>
      <c r="AE179" s="164">
        <v>131</v>
      </c>
      <c r="AF179" s="164">
        <v>117</v>
      </c>
      <c r="AG179" s="164">
        <v>80</v>
      </c>
      <c r="AH179" s="164">
        <v>74</v>
      </c>
      <c r="AI179" s="165"/>
      <c r="AJ179" s="94">
        <v>78</v>
      </c>
      <c r="AK179" s="164">
        <v>45</v>
      </c>
      <c r="AL179" s="164">
        <v>45</v>
      </c>
      <c r="AM179" s="165"/>
      <c r="AN179" s="165"/>
      <c r="AQ179" s="93" t="s">
        <v>534</v>
      </c>
      <c r="AR179" s="165"/>
      <c r="AS179" s="164">
        <v>10</v>
      </c>
      <c r="AT179" s="165"/>
      <c r="AU179" s="164">
        <v>73.3</v>
      </c>
      <c r="AV179" s="164">
        <v>32</v>
      </c>
      <c r="AW179" s="164">
        <v>32</v>
      </c>
      <c r="AX179" s="94">
        <v>78</v>
      </c>
      <c r="AY179" s="164">
        <v>19</v>
      </c>
      <c r="AZ179" s="164">
        <v>6</v>
      </c>
      <c r="BA179" s="164">
        <v>34.799999999999997</v>
      </c>
      <c r="BD179" s="97" t="s">
        <v>534</v>
      </c>
      <c r="BE179" s="173">
        <v>150</v>
      </c>
      <c r="BF179" s="173">
        <v>30</v>
      </c>
      <c r="BG179" s="173">
        <v>30</v>
      </c>
      <c r="BH179" s="173">
        <v>32.5</v>
      </c>
      <c r="BI179" s="174"/>
      <c r="BJ179" s="174"/>
      <c r="BK179" s="173">
        <v>5.3999999999999999E-2</v>
      </c>
      <c r="BL179" s="173">
        <v>3.0000000000000001E-3</v>
      </c>
      <c r="BM179" s="174"/>
      <c r="BN179" s="96">
        <v>8.1999999999999993</v>
      </c>
    </row>
    <row r="180" spans="2:66" ht="15.75" thickBot="1">
      <c r="B180" s="90" t="s">
        <v>603</v>
      </c>
      <c r="C180" s="156"/>
      <c r="D180" s="156"/>
      <c r="E180" s="156"/>
      <c r="F180" s="156"/>
      <c r="G180" s="155">
        <v>65</v>
      </c>
      <c r="H180" s="89">
        <v>56</v>
      </c>
      <c r="I180" s="156"/>
      <c r="J180" s="156"/>
      <c r="K180" s="156"/>
      <c r="L180" s="155">
        <v>64.5</v>
      </c>
      <c r="M180" s="156"/>
      <c r="N180" s="156"/>
      <c r="O180" s="89">
        <v>56</v>
      </c>
      <c r="P180" s="156"/>
      <c r="AC180" s="93" t="s">
        <v>535</v>
      </c>
      <c r="AD180" s="165"/>
      <c r="AE180" s="165"/>
      <c r="AF180" s="165"/>
      <c r="AG180" s="166"/>
      <c r="AH180" s="166"/>
      <c r="AI180" s="165"/>
      <c r="AJ180" s="94">
        <v>98</v>
      </c>
      <c r="AK180" s="165"/>
      <c r="AL180" s="165"/>
      <c r="AM180" s="165"/>
      <c r="AN180" s="165"/>
      <c r="AQ180" s="93" t="s">
        <v>535</v>
      </c>
      <c r="AR180" s="165"/>
      <c r="AS180" s="165"/>
      <c r="AT180" s="165"/>
      <c r="AU180" s="166"/>
      <c r="AV180" s="165"/>
      <c r="AW180" s="165"/>
      <c r="AX180" s="94">
        <v>98</v>
      </c>
      <c r="AY180" s="166"/>
      <c r="AZ180" s="165"/>
      <c r="BA180" s="165"/>
      <c r="BD180" s="97" t="s">
        <v>535</v>
      </c>
      <c r="BE180" s="174"/>
      <c r="BF180" s="174"/>
      <c r="BG180" s="174"/>
      <c r="BH180" s="174"/>
      <c r="BI180" s="174"/>
      <c r="BJ180" s="174"/>
      <c r="BK180" s="175"/>
      <c r="BL180" s="174"/>
      <c r="BM180" s="174"/>
      <c r="BN180" s="96">
        <v>9.9</v>
      </c>
    </row>
    <row r="181" spans="2:66" ht="15.75" thickBot="1">
      <c r="B181" s="90" t="s">
        <v>604</v>
      </c>
      <c r="C181" s="157"/>
      <c r="D181" s="157"/>
      <c r="E181" s="157"/>
      <c r="F181" s="157"/>
      <c r="G181" s="157"/>
      <c r="H181" s="89">
        <v>65</v>
      </c>
      <c r="I181" s="157"/>
      <c r="J181" s="157"/>
      <c r="K181" s="157"/>
      <c r="L181" s="157"/>
      <c r="M181" s="157"/>
      <c r="N181" s="157"/>
      <c r="O181" s="89">
        <v>65</v>
      </c>
      <c r="P181" s="157"/>
      <c r="AC181" s="93" t="s">
        <v>536</v>
      </c>
      <c r="AD181" s="165"/>
      <c r="AE181" s="165"/>
      <c r="AF181" s="165"/>
      <c r="AG181" s="164">
        <v>90</v>
      </c>
      <c r="AH181" s="164">
        <v>84</v>
      </c>
      <c r="AI181" s="165"/>
      <c r="AJ181" s="94">
        <v>78</v>
      </c>
      <c r="AK181" s="165"/>
      <c r="AL181" s="165"/>
      <c r="AM181" s="165"/>
      <c r="AN181" s="165"/>
      <c r="AQ181" s="93" t="s">
        <v>536</v>
      </c>
      <c r="AR181" s="165"/>
      <c r="AS181" s="165"/>
      <c r="AT181" s="165"/>
      <c r="AU181" s="164">
        <v>83.5</v>
      </c>
      <c r="AV181" s="165"/>
      <c r="AW181" s="165"/>
      <c r="AX181" s="94">
        <v>78</v>
      </c>
      <c r="AY181" s="164">
        <v>20</v>
      </c>
      <c r="AZ181" s="165"/>
      <c r="BA181" s="165"/>
      <c r="BD181" s="97" t="s">
        <v>536</v>
      </c>
      <c r="BE181" s="174"/>
      <c r="BF181" s="174"/>
      <c r="BG181" s="174"/>
      <c r="BH181" s="174"/>
      <c r="BI181" s="174"/>
      <c r="BJ181" s="174"/>
      <c r="BK181" s="173">
        <v>2.7E-2</v>
      </c>
      <c r="BL181" s="174"/>
      <c r="BM181" s="174"/>
      <c r="BN181" s="96">
        <v>8.1999999999999993</v>
      </c>
    </row>
    <row r="182" spans="2:66" ht="15.75" thickBot="1">
      <c r="AC182" s="93" t="s">
        <v>537</v>
      </c>
      <c r="AD182" s="165"/>
      <c r="AE182" s="165"/>
      <c r="AF182" s="165"/>
      <c r="AG182" s="166"/>
      <c r="AH182" s="166"/>
      <c r="AI182" s="165"/>
      <c r="AJ182" s="94">
        <v>98</v>
      </c>
      <c r="AK182" s="165"/>
      <c r="AL182" s="165"/>
      <c r="AM182" s="165"/>
      <c r="AN182" s="165"/>
      <c r="AQ182" s="93" t="s">
        <v>537</v>
      </c>
      <c r="AR182" s="165"/>
      <c r="AS182" s="165"/>
      <c r="AT182" s="165"/>
      <c r="AU182" s="166"/>
      <c r="AV182" s="165"/>
      <c r="AW182" s="165"/>
      <c r="AX182" s="94">
        <v>98</v>
      </c>
      <c r="AY182" s="166"/>
      <c r="AZ182" s="165"/>
      <c r="BA182" s="165"/>
      <c r="BD182" s="97" t="s">
        <v>537</v>
      </c>
      <c r="BE182" s="174"/>
      <c r="BF182" s="174"/>
      <c r="BG182" s="174"/>
      <c r="BH182" s="174"/>
      <c r="BI182" s="174"/>
      <c r="BJ182" s="174"/>
      <c r="BK182" s="175"/>
      <c r="BL182" s="174"/>
      <c r="BM182" s="174"/>
      <c r="BN182" s="96">
        <v>10.1</v>
      </c>
    </row>
    <row r="183" spans="2:66" ht="41.25" customHeight="1" thickBot="1">
      <c r="B183" s="62" t="s">
        <v>605</v>
      </c>
      <c r="C183" s="109" t="s">
        <v>514</v>
      </c>
      <c r="D183" s="110"/>
      <c r="E183" s="110"/>
      <c r="F183" s="111"/>
      <c r="G183" s="112" t="s">
        <v>606</v>
      </c>
      <c r="H183" s="109" t="s">
        <v>607</v>
      </c>
      <c r="I183" s="111"/>
      <c r="J183" s="112" t="s">
        <v>608</v>
      </c>
      <c r="AC183" s="93" t="s">
        <v>538</v>
      </c>
      <c r="AD183" s="165"/>
      <c r="AE183" s="165"/>
      <c r="AF183" s="165"/>
      <c r="AG183" s="164">
        <v>95</v>
      </c>
      <c r="AH183" s="164">
        <v>88</v>
      </c>
      <c r="AI183" s="165"/>
      <c r="AJ183" s="94">
        <v>78</v>
      </c>
      <c r="AK183" s="166"/>
      <c r="AL183" s="166"/>
      <c r="AM183" s="165"/>
      <c r="AN183" s="165"/>
      <c r="AQ183" s="93" t="s">
        <v>538</v>
      </c>
      <c r="AR183" s="165"/>
      <c r="AS183" s="165"/>
      <c r="AT183" s="165"/>
      <c r="AU183" s="164">
        <v>87.5</v>
      </c>
      <c r="AV183" s="165"/>
      <c r="AW183" s="165"/>
      <c r="AX183" s="94">
        <v>78</v>
      </c>
      <c r="AY183" s="164">
        <v>14.5</v>
      </c>
      <c r="AZ183" s="165"/>
      <c r="BA183" s="165"/>
      <c r="BD183" s="97" t="s">
        <v>538</v>
      </c>
      <c r="BE183" s="174"/>
      <c r="BF183" s="174"/>
      <c r="BG183" s="174"/>
      <c r="BH183" s="174"/>
      <c r="BI183" s="174"/>
      <c r="BJ183" s="174"/>
      <c r="BK183" s="173">
        <v>1.7999999999999999E-2</v>
      </c>
      <c r="BL183" s="174"/>
      <c r="BM183" s="174"/>
      <c r="BN183" s="96">
        <v>7.6</v>
      </c>
    </row>
    <row r="184" spans="2:66" ht="15.75" thickBot="1">
      <c r="B184" s="64" t="s">
        <v>513</v>
      </c>
      <c r="C184" s="109" t="s">
        <v>609</v>
      </c>
      <c r="D184" s="110"/>
      <c r="E184" s="110"/>
      <c r="F184" s="111"/>
      <c r="G184" s="114"/>
      <c r="H184" s="112" t="s">
        <v>610</v>
      </c>
      <c r="I184" s="112" t="s">
        <v>611</v>
      </c>
      <c r="J184" s="114"/>
      <c r="AC184" s="93" t="s">
        <v>539</v>
      </c>
      <c r="AD184" s="165"/>
      <c r="AE184" s="165"/>
      <c r="AF184" s="165"/>
      <c r="AG184" s="165"/>
      <c r="AH184" s="165"/>
      <c r="AI184" s="165"/>
      <c r="AJ184" s="94">
        <v>115</v>
      </c>
      <c r="AK184" s="94">
        <v>36.5</v>
      </c>
      <c r="AL184" s="94">
        <v>36.5</v>
      </c>
      <c r="AM184" s="165"/>
      <c r="AN184" s="165"/>
      <c r="AQ184" s="93" t="s">
        <v>539</v>
      </c>
      <c r="AR184" s="165"/>
      <c r="AS184" s="165"/>
      <c r="AT184" s="165"/>
      <c r="AU184" s="165"/>
      <c r="AV184" s="165"/>
      <c r="AW184" s="165"/>
      <c r="AX184" s="94">
        <v>115</v>
      </c>
      <c r="AY184" s="165"/>
      <c r="AZ184" s="165"/>
      <c r="BA184" s="165"/>
      <c r="BD184" s="97" t="s">
        <v>539</v>
      </c>
      <c r="BE184" s="174"/>
      <c r="BF184" s="174"/>
      <c r="BG184" s="174"/>
      <c r="BH184" s="174"/>
      <c r="BI184" s="174"/>
      <c r="BJ184" s="174"/>
      <c r="BK184" s="175"/>
      <c r="BL184" s="174"/>
      <c r="BM184" s="174"/>
      <c r="BN184" s="96">
        <v>10.5</v>
      </c>
    </row>
    <row r="185" spans="2:66" ht="15.75" thickBot="1">
      <c r="B185" s="91"/>
      <c r="C185" s="59" t="s">
        <v>612</v>
      </c>
      <c r="D185" s="59" t="s">
        <v>613</v>
      </c>
      <c r="E185" s="59" t="s">
        <v>614</v>
      </c>
      <c r="F185" s="59" t="s">
        <v>615</v>
      </c>
      <c r="G185" s="113"/>
      <c r="H185" s="113"/>
      <c r="I185" s="113"/>
      <c r="J185" s="113"/>
      <c r="AC185" s="93" t="s">
        <v>540</v>
      </c>
      <c r="AD185" s="165"/>
      <c r="AE185" s="165"/>
      <c r="AF185" s="165"/>
      <c r="AG185" s="165"/>
      <c r="AH185" s="165"/>
      <c r="AI185" s="165"/>
      <c r="AJ185" s="94">
        <v>78</v>
      </c>
      <c r="AK185" s="164">
        <v>45</v>
      </c>
      <c r="AL185" s="164">
        <v>45</v>
      </c>
      <c r="AM185" s="165"/>
      <c r="AN185" s="165"/>
      <c r="AQ185" s="93" t="s">
        <v>540</v>
      </c>
      <c r="AR185" s="165"/>
      <c r="AS185" s="165"/>
      <c r="AT185" s="165"/>
      <c r="AU185" s="165"/>
      <c r="AV185" s="165"/>
      <c r="AW185" s="165"/>
      <c r="AX185" s="94">
        <v>78</v>
      </c>
      <c r="AY185" s="165"/>
      <c r="AZ185" s="165"/>
      <c r="BA185" s="165"/>
      <c r="BD185" s="97" t="s">
        <v>540</v>
      </c>
      <c r="BE185" s="174"/>
      <c r="BF185" s="174"/>
      <c r="BG185" s="174"/>
      <c r="BH185" s="174"/>
      <c r="BI185" s="174"/>
      <c r="BJ185" s="174"/>
      <c r="BK185" s="173">
        <v>1.4E-2</v>
      </c>
      <c r="BL185" s="174"/>
      <c r="BM185" s="174"/>
      <c r="BN185" s="96">
        <v>7.5</v>
      </c>
    </row>
    <row r="186" spans="2:66" ht="15.75" thickBot="1">
      <c r="B186" s="63" t="s">
        <v>595</v>
      </c>
      <c r="C186" s="112">
        <v>114</v>
      </c>
      <c r="D186" s="112">
        <v>14</v>
      </c>
      <c r="E186" s="112">
        <v>14</v>
      </c>
      <c r="F186" s="112">
        <v>15.4</v>
      </c>
      <c r="G186" s="112">
        <v>1.4E-2</v>
      </c>
      <c r="H186" s="112">
        <v>3.0000000000000001E-3</v>
      </c>
      <c r="I186" s="112">
        <v>3.0000000000000001E-3</v>
      </c>
      <c r="J186" s="59">
        <v>2.2999999999999998</v>
      </c>
      <c r="AC186" s="93" t="s">
        <v>541</v>
      </c>
      <c r="AD186" s="166"/>
      <c r="AE186" s="166"/>
      <c r="AF186" s="166"/>
      <c r="AG186" s="166"/>
      <c r="AH186" s="166"/>
      <c r="AI186" s="165"/>
      <c r="AJ186" s="94">
        <v>98</v>
      </c>
      <c r="AK186" s="166"/>
      <c r="AL186" s="166"/>
      <c r="AM186" s="166"/>
      <c r="AN186" s="166"/>
      <c r="AQ186" s="93" t="s">
        <v>541</v>
      </c>
      <c r="AR186" s="166"/>
      <c r="AS186" s="166"/>
      <c r="AT186" s="165"/>
      <c r="AU186" s="166"/>
      <c r="AV186" s="165"/>
      <c r="AW186" s="165"/>
      <c r="AX186" s="94">
        <v>98</v>
      </c>
      <c r="AY186" s="166"/>
      <c r="AZ186" s="165"/>
      <c r="BA186" s="165"/>
      <c r="BD186" s="97" t="s">
        <v>541</v>
      </c>
      <c r="BE186" s="175"/>
      <c r="BF186" s="174"/>
      <c r="BG186" s="174"/>
      <c r="BH186" s="175"/>
      <c r="BI186" s="175"/>
      <c r="BJ186" s="174"/>
      <c r="BK186" s="175"/>
      <c r="BL186" s="175"/>
      <c r="BM186" s="175"/>
      <c r="BN186" s="96">
        <v>9.9</v>
      </c>
    </row>
    <row r="187" spans="2:66" ht="15.75" thickBot="1">
      <c r="B187" s="63" t="s">
        <v>596</v>
      </c>
      <c r="C187" s="114"/>
      <c r="D187" s="114"/>
      <c r="E187" s="114"/>
      <c r="F187" s="114"/>
      <c r="G187" s="113"/>
      <c r="H187" s="114"/>
      <c r="I187" s="114"/>
      <c r="J187" s="59">
        <v>2.8</v>
      </c>
      <c r="AC187" s="93" t="s">
        <v>542</v>
      </c>
      <c r="AD187" s="164">
        <v>149</v>
      </c>
      <c r="AE187" s="164">
        <v>149</v>
      </c>
      <c r="AF187" s="164">
        <v>135</v>
      </c>
      <c r="AG187" s="94">
        <v>90</v>
      </c>
      <c r="AH187" s="94">
        <v>84</v>
      </c>
      <c r="AI187" s="165"/>
      <c r="AJ187" s="164">
        <v>100</v>
      </c>
      <c r="AK187" s="164">
        <v>50</v>
      </c>
      <c r="AL187" s="164">
        <v>50</v>
      </c>
      <c r="AM187" s="164">
        <v>12</v>
      </c>
      <c r="AN187" s="164">
        <v>12</v>
      </c>
      <c r="AQ187" s="93" t="s">
        <v>542</v>
      </c>
      <c r="AR187" s="164">
        <v>12</v>
      </c>
      <c r="AS187" s="164">
        <v>12</v>
      </c>
      <c r="AT187" s="165"/>
      <c r="AU187" s="94">
        <v>83.2</v>
      </c>
      <c r="AV187" s="165"/>
      <c r="AW187" s="165"/>
      <c r="AX187" s="164">
        <v>100</v>
      </c>
      <c r="AY187" s="164">
        <v>30</v>
      </c>
      <c r="AZ187" s="165"/>
      <c r="BA187" s="165"/>
      <c r="BD187" s="97" t="s">
        <v>542</v>
      </c>
      <c r="BE187" s="173">
        <v>172</v>
      </c>
      <c r="BF187" s="174"/>
      <c r="BG187" s="174"/>
      <c r="BH187" s="173">
        <v>38</v>
      </c>
      <c r="BI187" s="173">
        <v>55</v>
      </c>
      <c r="BJ187" s="174"/>
      <c r="BK187" s="96">
        <v>7.8E-2</v>
      </c>
      <c r="BL187" s="173">
        <v>4.0000000000000001E-3</v>
      </c>
      <c r="BM187" s="173">
        <v>4.4999999999999997E-3</v>
      </c>
      <c r="BN187" s="96">
        <v>13.6</v>
      </c>
    </row>
    <row r="188" spans="2:66" ht="15.75" thickBot="1">
      <c r="B188" s="63" t="s">
        <v>597</v>
      </c>
      <c r="C188" s="114"/>
      <c r="D188" s="114"/>
      <c r="E188" s="114"/>
      <c r="F188" s="114"/>
      <c r="G188" s="112">
        <v>1.4999999999999999E-2</v>
      </c>
      <c r="H188" s="114"/>
      <c r="I188" s="114"/>
      <c r="J188" s="59">
        <v>2.2999999999999998</v>
      </c>
      <c r="AC188" s="93" t="s">
        <v>543</v>
      </c>
      <c r="AD188" s="165"/>
      <c r="AE188" s="165"/>
      <c r="AF188" s="165"/>
      <c r="AG188" s="94">
        <v>100</v>
      </c>
      <c r="AH188" s="94">
        <v>95</v>
      </c>
      <c r="AI188" s="165"/>
      <c r="AJ188" s="166"/>
      <c r="AK188" s="166"/>
      <c r="AL188" s="166"/>
      <c r="AM188" s="165"/>
      <c r="AN188" s="165"/>
      <c r="AQ188" s="93" t="s">
        <v>543</v>
      </c>
      <c r="AR188" s="165"/>
      <c r="AS188" s="165"/>
      <c r="AT188" s="165"/>
      <c r="AU188" s="94">
        <v>94.5</v>
      </c>
      <c r="AV188" s="165"/>
      <c r="AW188" s="165"/>
      <c r="AX188" s="166"/>
      <c r="AY188" s="165"/>
      <c r="AZ188" s="165"/>
      <c r="BA188" s="165"/>
      <c r="BD188" s="97" t="s">
        <v>543</v>
      </c>
      <c r="BE188" s="174"/>
      <c r="BF188" s="174"/>
      <c r="BG188" s="174"/>
      <c r="BH188" s="174"/>
      <c r="BI188" s="174"/>
      <c r="BJ188" s="174"/>
      <c r="BK188" s="96">
        <v>3.9E-2</v>
      </c>
      <c r="BL188" s="174"/>
      <c r="BM188" s="174"/>
      <c r="BN188" s="96">
        <v>12.4</v>
      </c>
    </row>
    <row r="189" spans="2:66" ht="15.75" thickBot="1">
      <c r="B189" s="63" t="s">
        <v>598</v>
      </c>
      <c r="C189" s="113"/>
      <c r="D189" s="113"/>
      <c r="E189" s="113"/>
      <c r="F189" s="113"/>
      <c r="G189" s="113"/>
      <c r="H189" s="113"/>
      <c r="I189" s="113"/>
      <c r="J189" s="59">
        <v>2.6</v>
      </c>
      <c r="AC189" s="93" t="s">
        <v>544</v>
      </c>
      <c r="AD189" s="165"/>
      <c r="AE189" s="165"/>
      <c r="AF189" s="165"/>
      <c r="AG189" s="164">
        <v>105</v>
      </c>
      <c r="AH189" s="164">
        <v>100</v>
      </c>
      <c r="AI189" s="165"/>
      <c r="AJ189" s="94">
        <v>110</v>
      </c>
      <c r="AK189" s="94">
        <v>45</v>
      </c>
      <c r="AL189" s="94">
        <v>45</v>
      </c>
      <c r="AM189" s="165"/>
      <c r="AN189" s="165"/>
      <c r="AQ189" s="93" t="s">
        <v>544</v>
      </c>
      <c r="AR189" s="165"/>
      <c r="AS189" s="165"/>
      <c r="AT189" s="165"/>
      <c r="AU189" s="164">
        <v>99.5</v>
      </c>
      <c r="AV189" s="165"/>
      <c r="AW189" s="165"/>
      <c r="AX189" s="94">
        <v>110</v>
      </c>
      <c r="AY189" s="165"/>
      <c r="AZ189" s="165"/>
      <c r="BA189" s="165"/>
      <c r="BD189" s="97" t="s">
        <v>544</v>
      </c>
      <c r="BE189" s="174"/>
      <c r="BF189" s="174"/>
      <c r="BG189" s="174"/>
      <c r="BH189" s="174"/>
      <c r="BI189" s="174"/>
      <c r="BJ189" s="174"/>
      <c r="BK189" s="96">
        <v>2.5999999999999999E-2</v>
      </c>
      <c r="BL189" s="174"/>
      <c r="BM189" s="174"/>
      <c r="BN189" s="96">
        <v>13.5</v>
      </c>
    </row>
    <row r="190" spans="2:66" ht="15.75" thickBot="1">
      <c r="B190" s="63" t="s">
        <v>599</v>
      </c>
      <c r="C190" s="112">
        <v>126</v>
      </c>
      <c r="D190" s="112">
        <v>17</v>
      </c>
      <c r="E190" s="112">
        <v>17</v>
      </c>
      <c r="F190" s="112">
        <v>18</v>
      </c>
      <c r="G190" s="112">
        <v>0.02</v>
      </c>
      <c r="H190" s="112">
        <v>4.0000000000000001E-3</v>
      </c>
      <c r="I190" s="112">
        <v>4.0000000000000001E-3</v>
      </c>
      <c r="J190" s="59">
        <v>3.3</v>
      </c>
      <c r="AC190" s="93" t="s">
        <v>545</v>
      </c>
      <c r="AD190" s="165"/>
      <c r="AE190" s="165"/>
      <c r="AF190" s="165"/>
      <c r="AG190" s="165"/>
      <c r="AH190" s="165"/>
      <c r="AI190" s="165"/>
      <c r="AJ190" s="94">
        <v>100</v>
      </c>
      <c r="AK190" s="164">
        <v>36</v>
      </c>
      <c r="AL190" s="164">
        <v>36</v>
      </c>
      <c r="AM190" s="165"/>
      <c r="AN190" s="165"/>
      <c r="AQ190" s="93" t="s">
        <v>545</v>
      </c>
      <c r="AR190" s="165"/>
      <c r="AS190" s="165"/>
      <c r="AT190" s="165"/>
      <c r="AU190" s="165"/>
      <c r="AV190" s="165"/>
      <c r="AW190" s="165"/>
      <c r="AX190" s="94">
        <v>100</v>
      </c>
      <c r="AY190" s="166"/>
      <c r="AZ190" s="165"/>
      <c r="BA190" s="165"/>
      <c r="BD190" s="97" t="s">
        <v>545</v>
      </c>
      <c r="BE190" s="174"/>
      <c r="BF190" s="174"/>
      <c r="BG190" s="174"/>
      <c r="BH190" s="174"/>
      <c r="BI190" s="174"/>
      <c r="BJ190" s="174"/>
      <c r="BK190" s="173">
        <v>1.9E-2</v>
      </c>
      <c r="BL190" s="174"/>
      <c r="BM190" s="174"/>
      <c r="BN190" s="96">
        <v>11.5</v>
      </c>
    </row>
    <row r="191" spans="2:66" ht="15.75" thickBot="1">
      <c r="B191" s="63" t="s">
        <v>600</v>
      </c>
      <c r="C191" s="114"/>
      <c r="D191" s="114"/>
      <c r="E191" s="114"/>
      <c r="F191" s="114"/>
      <c r="G191" s="113"/>
      <c r="H191" s="114"/>
      <c r="I191" s="114"/>
      <c r="J191" s="59">
        <v>3.8</v>
      </c>
      <c r="AC191" s="93" t="s">
        <v>546</v>
      </c>
      <c r="AD191" s="166"/>
      <c r="AE191" s="166"/>
      <c r="AF191" s="166"/>
      <c r="AG191" s="166"/>
      <c r="AH191" s="166"/>
      <c r="AI191" s="165"/>
      <c r="AJ191" s="94">
        <v>130</v>
      </c>
      <c r="AK191" s="166"/>
      <c r="AL191" s="166"/>
      <c r="AM191" s="166"/>
      <c r="AN191" s="166"/>
      <c r="AQ191" s="93" t="s">
        <v>546</v>
      </c>
      <c r="AR191" s="166"/>
      <c r="AS191" s="166"/>
      <c r="AT191" s="165"/>
      <c r="AU191" s="166"/>
      <c r="AV191" s="166"/>
      <c r="AW191" s="166"/>
      <c r="AX191" s="94">
        <v>130</v>
      </c>
      <c r="AY191" s="94">
        <v>20</v>
      </c>
      <c r="AZ191" s="165"/>
      <c r="BA191" s="166"/>
      <c r="BD191" s="97" t="s">
        <v>546</v>
      </c>
      <c r="BE191" s="175"/>
      <c r="BF191" s="175"/>
      <c r="BG191" s="175"/>
      <c r="BH191" s="175"/>
      <c r="BI191" s="175"/>
      <c r="BJ191" s="175"/>
      <c r="BK191" s="175"/>
      <c r="BL191" s="175"/>
      <c r="BM191" s="175"/>
      <c r="BN191" s="96">
        <v>15.4</v>
      </c>
    </row>
    <row r="192" spans="2:66" ht="27" customHeight="1" thickBot="1">
      <c r="B192" s="63" t="s">
        <v>601</v>
      </c>
      <c r="C192" s="114"/>
      <c r="D192" s="114"/>
      <c r="E192" s="114"/>
      <c r="F192" s="114"/>
      <c r="G192" s="112">
        <v>2.1000000000000001E-2</v>
      </c>
      <c r="H192" s="114"/>
      <c r="I192" s="114"/>
      <c r="J192" s="59">
        <v>3.3</v>
      </c>
      <c r="AC192" s="93" t="s">
        <v>547</v>
      </c>
      <c r="AD192" s="164">
        <v>168</v>
      </c>
      <c r="AE192" s="164">
        <v>168</v>
      </c>
      <c r="AF192" s="164">
        <v>154</v>
      </c>
      <c r="AG192" s="164">
        <v>101</v>
      </c>
      <c r="AH192" s="164">
        <v>95</v>
      </c>
      <c r="AI192" s="165"/>
      <c r="AJ192" s="94">
        <v>100</v>
      </c>
      <c r="AK192" s="164">
        <v>50</v>
      </c>
      <c r="AL192" s="164">
        <v>50</v>
      </c>
      <c r="AM192" s="164">
        <v>14</v>
      </c>
      <c r="AN192" s="164">
        <v>14</v>
      </c>
      <c r="AQ192" s="93" t="s">
        <v>547</v>
      </c>
      <c r="AR192" s="164">
        <v>14</v>
      </c>
      <c r="AS192" s="164">
        <v>14</v>
      </c>
      <c r="AT192" s="165"/>
      <c r="AU192" s="164">
        <v>94.1</v>
      </c>
      <c r="AV192" s="164">
        <v>37</v>
      </c>
      <c r="AW192" s="164">
        <v>37</v>
      </c>
      <c r="AX192" s="94">
        <v>100</v>
      </c>
      <c r="AY192" s="164">
        <v>33</v>
      </c>
      <c r="AZ192" s="165"/>
      <c r="BA192" s="164">
        <v>39.799999999999997</v>
      </c>
      <c r="BD192" s="97" t="s">
        <v>547</v>
      </c>
      <c r="BE192" s="173">
        <v>194</v>
      </c>
      <c r="BF192" s="173">
        <v>35</v>
      </c>
      <c r="BG192" s="173">
        <v>35</v>
      </c>
      <c r="BH192" s="173">
        <v>45</v>
      </c>
      <c r="BI192" s="173">
        <v>59</v>
      </c>
      <c r="BJ192" s="173">
        <v>28</v>
      </c>
      <c r="BK192" s="173">
        <v>9.6000000000000002E-2</v>
      </c>
      <c r="BL192" s="173">
        <v>5.0000000000000001E-3</v>
      </c>
      <c r="BM192" s="173">
        <v>6.4999999999999997E-3</v>
      </c>
      <c r="BN192" s="96">
        <v>17.5</v>
      </c>
    </row>
    <row r="193" spans="2:66" ht="26.25" customHeight="1" thickBot="1">
      <c r="B193" s="63" t="s">
        <v>602</v>
      </c>
      <c r="C193" s="114"/>
      <c r="D193" s="114"/>
      <c r="E193" s="114"/>
      <c r="F193" s="114"/>
      <c r="G193" s="113"/>
      <c r="H193" s="114"/>
      <c r="I193" s="114"/>
      <c r="J193" s="59">
        <v>3.5</v>
      </c>
      <c r="AC193" s="93" t="s">
        <v>548</v>
      </c>
      <c r="AD193" s="165"/>
      <c r="AE193" s="165"/>
      <c r="AF193" s="165"/>
      <c r="AG193" s="166"/>
      <c r="AH193" s="166"/>
      <c r="AI193" s="165"/>
      <c r="AJ193" s="94">
        <v>130</v>
      </c>
      <c r="AK193" s="166"/>
      <c r="AL193" s="166"/>
      <c r="AM193" s="165"/>
      <c r="AN193" s="165"/>
      <c r="AQ193" s="93" t="s">
        <v>548</v>
      </c>
      <c r="AR193" s="165"/>
      <c r="AS193" s="165"/>
      <c r="AT193" s="165"/>
      <c r="AU193" s="166"/>
      <c r="AV193" s="165"/>
      <c r="AW193" s="165"/>
      <c r="AX193" s="94">
        <v>130</v>
      </c>
      <c r="AY193" s="165"/>
      <c r="AZ193" s="165"/>
      <c r="BA193" s="165"/>
      <c r="BD193" s="97" t="s">
        <v>548</v>
      </c>
      <c r="BE193" s="174"/>
      <c r="BF193" s="174"/>
      <c r="BG193" s="174"/>
      <c r="BH193" s="174"/>
      <c r="BI193" s="174"/>
      <c r="BJ193" s="174"/>
      <c r="BK193" s="175"/>
      <c r="BL193" s="174"/>
      <c r="BM193" s="174"/>
      <c r="BN193" s="96">
        <v>22</v>
      </c>
    </row>
    <row r="194" spans="2:66" ht="27" customHeight="1" thickBot="1">
      <c r="B194" s="63" t="s">
        <v>603</v>
      </c>
      <c r="C194" s="114"/>
      <c r="D194" s="114"/>
      <c r="E194" s="114"/>
      <c r="F194" s="114"/>
      <c r="G194" s="112">
        <v>0.02</v>
      </c>
      <c r="H194" s="114"/>
      <c r="I194" s="114"/>
      <c r="J194" s="59">
        <v>3.8</v>
      </c>
      <c r="AC194" s="93" t="s">
        <v>549</v>
      </c>
      <c r="AD194" s="165"/>
      <c r="AE194" s="165"/>
      <c r="AF194" s="165"/>
      <c r="AG194" s="164">
        <v>109</v>
      </c>
      <c r="AH194" s="164">
        <v>105</v>
      </c>
      <c r="AI194" s="165"/>
      <c r="AJ194" s="94">
        <v>100</v>
      </c>
      <c r="AK194" s="164">
        <v>48</v>
      </c>
      <c r="AL194" s="164">
        <v>48</v>
      </c>
      <c r="AM194" s="165"/>
      <c r="AN194" s="165"/>
      <c r="AQ194" s="93" t="s">
        <v>549</v>
      </c>
      <c r="AR194" s="165"/>
      <c r="AS194" s="165"/>
      <c r="AT194" s="165"/>
      <c r="AU194" s="164">
        <v>104.4</v>
      </c>
      <c r="AV194" s="165"/>
      <c r="AW194" s="165"/>
      <c r="AX194" s="94">
        <v>100</v>
      </c>
      <c r="AY194" s="165"/>
      <c r="AZ194" s="165"/>
      <c r="BA194" s="165"/>
      <c r="BD194" s="97" t="s">
        <v>549</v>
      </c>
      <c r="BE194" s="174"/>
      <c r="BF194" s="174"/>
      <c r="BG194" s="174"/>
      <c r="BH194" s="174"/>
      <c r="BI194" s="174"/>
      <c r="BJ194" s="174"/>
      <c r="BK194" s="173">
        <v>4.8000000000000001E-2</v>
      </c>
      <c r="BL194" s="174"/>
      <c r="BM194" s="174"/>
      <c r="BN194" s="96" t="s">
        <v>634</v>
      </c>
    </row>
    <row r="195" spans="2:66" ht="26.25" customHeight="1" thickBot="1">
      <c r="B195" s="63" t="s">
        <v>604</v>
      </c>
      <c r="C195" s="113"/>
      <c r="D195" s="113"/>
      <c r="E195" s="113"/>
      <c r="F195" s="113"/>
      <c r="G195" s="113"/>
      <c r="H195" s="113"/>
      <c r="I195" s="113"/>
      <c r="J195" s="59">
        <v>4.3</v>
      </c>
      <c r="AC195" s="93" t="s">
        <v>550</v>
      </c>
      <c r="AD195" s="165"/>
      <c r="AE195" s="165"/>
      <c r="AF195" s="165"/>
      <c r="AG195" s="166"/>
      <c r="AH195" s="166"/>
      <c r="AI195" s="165"/>
      <c r="AJ195" s="94">
        <v>130</v>
      </c>
      <c r="AK195" s="166"/>
      <c r="AL195" s="166"/>
      <c r="AM195" s="165"/>
      <c r="AN195" s="165"/>
      <c r="AQ195" s="93" t="s">
        <v>550</v>
      </c>
      <c r="AR195" s="165"/>
      <c r="AS195" s="165"/>
      <c r="AT195" s="165"/>
      <c r="AU195" s="166"/>
      <c r="AV195" s="165"/>
      <c r="AW195" s="165"/>
      <c r="AX195" s="94">
        <v>130</v>
      </c>
      <c r="AY195" s="165"/>
      <c r="AZ195" s="165"/>
      <c r="BA195" s="165"/>
      <c r="BD195" s="97" t="s">
        <v>550</v>
      </c>
      <c r="BE195" s="175"/>
      <c r="BF195" s="175"/>
      <c r="BG195" s="175"/>
      <c r="BH195" s="175"/>
      <c r="BI195" s="175"/>
      <c r="BJ195" s="175"/>
      <c r="BK195" s="175"/>
      <c r="BL195" s="175"/>
      <c r="BM195" s="175"/>
      <c r="BN195" s="96">
        <v>20.9</v>
      </c>
    </row>
    <row r="196" spans="2:66" ht="26.25" customHeight="1" thickBot="1">
      <c r="AC196" s="93" t="s">
        <v>551</v>
      </c>
      <c r="AD196" s="166"/>
      <c r="AE196" s="166"/>
      <c r="AF196" s="166"/>
      <c r="AG196" s="94">
        <v>119</v>
      </c>
      <c r="AH196" s="94">
        <v>113</v>
      </c>
      <c r="AI196" s="166"/>
      <c r="AJ196" s="94">
        <v>120</v>
      </c>
      <c r="AK196" s="94">
        <v>45</v>
      </c>
      <c r="AL196" s="94">
        <v>45</v>
      </c>
      <c r="AM196" s="166"/>
      <c r="AN196" s="166"/>
      <c r="AQ196" s="93" t="s">
        <v>551</v>
      </c>
      <c r="AR196" s="165"/>
      <c r="AS196" s="165"/>
      <c r="AT196" s="165"/>
      <c r="AU196" s="164">
        <v>112.4</v>
      </c>
      <c r="AV196" s="165"/>
      <c r="AW196" s="165"/>
      <c r="AX196" s="164">
        <v>120</v>
      </c>
      <c r="AY196" s="165"/>
      <c r="AZ196" s="165"/>
      <c r="BA196" s="165"/>
      <c r="BD196" s="97" t="s">
        <v>551</v>
      </c>
      <c r="BE196" s="173">
        <v>194</v>
      </c>
      <c r="BF196" s="173">
        <v>35</v>
      </c>
      <c r="BG196" s="173">
        <v>35</v>
      </c>
      <c r="BH196" s="173">
        <v>45</v>
      </c>
      <c r="BI196" s="173">
        <v>59</v>
      </c>
      <c r="BJ196" s="173">
        <v>28</v>
      </c>
      <c r="BK196" s="96">
        <v>3.2000000000000001E-2</v>
      </c>
      <c r="BL196" s="173">
        <v>5.0000000000000001E-3</v>
      </c>
      <c r="BM196" s="173">
        <v>6.4999999999999997E-3</v>
      </c>
      <c r="BN196" s="96">
        <v>18.8</v>
      </c>
    </row>
    <row r="197" spans="2:66" ht="27" customHeight="1" thickBot="1">
      <c r="AC197" s="93" t="s">
        <v>552</v>
      </c>
      <c r="AD197" s="164">
        <v>191</v>
      </c>
      <c r="AE197" s="164">
        <v>191</v>
      </c>
      <c r="AF197" s="164">
        <v>177</v>
      </c>
      <c r="AG197" s="164">
        <v>165</v>
      </c>
      <c r="AH197" s="94">
        <v>110</v>
      </c>
      <c r="AI197" s="164">
        <v>7.9</v>
      </c>
      <c r="AJ197" s="164">
        <v>125</v>
      </c>
      <c r="AK197" s="167">
        <v>57</v>
      </c>
      <c r="AL197" s="164">
        <v>57</v>
      </c>
      <c r="AM197" s="164">
        <v>18</v>
      </c>
      <c r="AN197" s="164">
        <v>18</v>
      </c>
      <c r="AQ197" s="93" t="s">
        <v>621</v>
      </c>
      <c r="AR197" s="166"/>
      <c r="AS197" s="166"/>
      <c r="AT197" s="166"/>
      <c r="AU197" s="166"/>
      <c r="AV197" s="166"/>
      <c r="AW197" s="166"/>
      <c r="AX197" s="166"/>
      <c r="AY197" s="166"/>
      <c r="AZ197" s="166"/>
      <c r="BA197" s="166"/>
      <c r="BD197" s="97" t="s">
        <v>621</v>
      </c>
      <c r="BE197" s="175"/>
      <c r="BF197" s="175"/>
      <c r="BG197" s="175"/>
      <c r="BH197" s="175"/>
      <c r="BI197" s="175"/>
      <c r="BJ197" s="175"/>
      <c r="BK197" s="96">
        <v>2.4E-2</v>
      </c>
      <c r="BL197" s="175"/>
      <c r="BM197" s="175"/>
      <c r="BN197" s="96">
        <v>18.600000000000001</v>
      </c>
    </row>
    <row r="198" spans="2:66" ht="27" customHeight="1" thickBot="1">
      <c r="AC198" s="93" t="s">
        <v>553</v>
      </c>
      <c r="AD198" s="165"/>
      <c r="AE198" s="165"/>
      <c r="AF198" s="165"/>
      <c r="AG198" s="165"/>
      <c r="AH198" s="94">
        <v>126</v>
      </c>
      <c r="AI198" s="165"/>
      <c r="AJ198" s="166"/>
      <c r="AK198" s="168"/>
      <c r="AL198" s="165"/>
      <c r="AM198" s="165"/>
      <c r="AN198" s="165"/>
      <c r="AQ198" s="93" t="s">
        <v>552</v>
      </c>
      <c r="AR198" s="164">
        <v>16</v>
      </c>
      <c r="AS198" s="164">
        <v>17</v>
      </c>
      <c r="AT198" s="164">
        <v>6</v>
      </c>
      <c r="AU198" s="94">
        <v>108.8</v>
      </c>
      <c r="AV198" s="164">
        <v>43</v>
      </c>
      <c r="AW198" s="164">
        <v>43</v>
      </c>
      <c r="AX198" s="164">
        <v>128</v>
      </c>
      <c r="AY198" s="164">
        <v>37</v>
      </c>
      <c r="AZ198" s="164">
        <v>12</v>
      </c>
      <c r="BA198" s="164">
        <v>46.3</v>
      </c>
      <c r="BD198" s="97" t="s">
        <v>552</v>
      </c>
      <c r="BE198" s="173">
        <v>223</v>
      </c>
      <c r="BF198" s="173">
        <v>43</v>
      </c>
      <c r="BG198" s="173">
        <v>43</v>
      </c>
      <c r="BH198" s="173">
        <v>45</v>
      </c>
      <c r="BI198" s="173">
        <v>66</v>
      </c>
      <c r="BJ198" s="173">
        <v>31</v>
      </c>
      <c r="BK198" s="96">
        <v>0.05</v>
      </c>
      <c r="BL198" s="173">
        <v>0.01</v>
      </c>
      <c r="BM198" s="173">
        <v>1.9E-2</v>
      </c>
      <c r="BN198" s="96">
        <v>27.5</v>
      </c>
    </row>
    <row r="199" spans="2:66" ht="27" customHeight="1" thickBot="1">
      <c r="AC199" s="93" t="s">
        <v>554</v>
      </c>
      <c r="AD199" s="165"/>
      <c r="AE199" s="165"/>
      <c r="AF199" s="165"/>
      <c r="AG199" s="165"/>
      <c r="AH199" s="164">
        <v>132</v>
      </c>
      <c r="AI199" s="165"/>
      <c r="AJ199" s="95">
        <v>100</v>
      </c>
      <c r="AK199" s="168"/>
      <c r="AL199" s="165"/>
      <c r="AM199" s="165"/>
      <c r="AN199" s="165"/>
      <c r="AQ199" s="93" t="s">
        <v>553</v>
      </c>
      <c r="AR199" s="165"/>
      <c r="AS199" s="165"/>
      <c r="AT199" s="165"/>
      <c r="AU199" s="94">
        <v>125.4</v>
      </c>
      <c r="AV199" s="165"/>
      <c r="AW199" s="165"/>
      <c r="AX199" s="166"/>
      <c r="AY199" s="165"/>
      <c r="AZ199" s="165"/>
      <c r="BA199" s="165"/>
      <c r="BD199" s="97" t="s">
        <v>553</v>
      </c>
      <c r="BE199" s="174"/>
      <c r="BF199" s="174"/>
      <c r="BG199" s="174"/>
      <c r="BH199" s="174"/>
      <c r="BI199" s="174"/>
      <c r="BJ199" s="174"/>
      <c r="BK199" s="96">
        <v>0.04</v>
      </c>
      <c r="BL199" s="174"/>
      <c r="BM199" s="174"/>
      <c r="BN199" s="96">
        <v>25.9</v>
      </c>
    </row>
    <row r="200" spans="2:66" ht="26.25" customHeight="1" thickBot="1">
      <c r="AC200" s="93" t="s">
        <v>555</v>
      </c>
      <c r="AD200" s="165"/>
      <c r="AE200" s="165"/>
      <c r="AF200" s="165"/>
      <c r="AG200" s="165"/>
      <c r="AH200" s="165"/>
      <c r="AI200" s="165"/>
      <c r="AJ200" s="94">
        <v>125</v>
      </c>
      <c r="AK200" s="168"/>
      <c r="AL200" s="165"/>
      <c r="AM200" s="165"/>
      <c r="AN200" s="165"/>
      <c r="AQ200" s="93" t="s">
        <v>554</v>
      </c>
      <c r="AR200" s="165"/>
      <c r="AS200" s="165"/>
      <c r="AT200" s="165"/>
      <c r="AU200" s="164">
        <v>131.4</v>
      </c>
      <c r="AV200" s="165"/>
      <c r="AW200" s="165"/>
      <c r="AX200" s="94">
        <v>103</v>
      </c>
      <c r="AY200" s="165"/>
      <c r="AZ200" s="165"/>
      <c r="BA200" s="165"/>
      <c r="BD200" s="97" t="s">
        <v>554</v>
      </c>
      <c r="BE200" s="174"/>
      <c r="BF200" s="174"/>
      <c r="BG200" s="174"/>
      <c r="BH200" s="174"/>
      <c r="BI200" s="174"/>
      <c r="BJ200" s="174"/>
      <c r="BK200" s="173">
        <v>3.5000000000000003E-2</v>
      </c>
      <c r="BL200" s="174"/>
      <c r="BM200" s="174"/>
      <c r="BN200" s="96">
        <v>20.8</v>
      </c>
    </row>
    <row r="201" spans="2:66" ht="27" customHeight="1" thickBot="1">
      <c r="AC201" s="93" t="s">
        <v>556</v>
      </c>
      <c r="AD201" s="165"/>
      <c r="AE201" s="165"/>
      <c r="AF201" s="165"/>
      <c r="AG201" s="165"/>
      <c r="AH201" s="165"/>
      <c r="AI201" s="165"/>
      <c r="AJ201" s="94">
        <v>100</v>
      </c>
      <c r="AK201" s="168"/>
      <c r="AL201" s="165"/>
      <c r="AM201" s="165"/>
      <c r="AN201" s="165"/>
      <c r="AQ201" s="93" t="s">
        <v>555</v>
      </c>
      <c r="AR201" s="165"/>
      <c r="AS201" s="165"/>
      <c r="AT201" s="165"/>
      <c r="AU201" s="165"/>
      <c r="AV201" s="165"/>
      <c r="AW201" s="165"/>
      <c r="AX201" s="94">
        <v>128</v>
      </c>
      <c r="AY201" s="165"/>
      <c r="AZ201" s="165"/>
      <c r="BA201" s="165"/>
      <c r="BD201" s="97" t="s">
        <v>555</v>
      </c>
      <c r="BE201" s="174"/>
      <c r="BF201" s="174"/>
      <c r="BG201" s="174"/>
      <c r="BH201" s="174"/>
      <c r="BI201" s="174"/>
      <c r="BJ201" s="174"/>
      <c r="BK201" s="175"/>
      <c r="BL201" s="174"/>
      <c r="BM201" s="174"/>
      <c r="BN201" s="96">
        <v>25.5</v>
      </c>
    </row>
    <row r="202" spans="2:66" ht="26.25" customHeight="1" thickBot="1">
      <c r="AC202" s="93" t="s">
        <v>557</v>
      </c>
      <c r="AD202" s="166"/>
      <c r="AE202" s="166"/>
      <c r="AF202" s="166"/>
      <c r="AG202" s="166"/>
      <c r="AH202" s="166"/>
      <c r="AI202" s="165"/>
      <c r="AJ202" s="164">
        <v>130</v>
      </c>
      <c r="AK202" s="169"/>
      <c r="AL202" s="166"/>
      <c r="AM202" s="166"/>
      <c r="AN202" s="166"/>
      <c r="AQ202" s="93" t="s">
        <v>556</v>
      </c>
      <c r="AR202" s="165"/>
      <c r="AS202" s="165"/>
      <c r="AT202" s="165"/>
      <c r="AU202" s="165"/>
      <c r="AV202" s="165"/>
      <c r="AW202" s="165"/>
      <c r="AX202" s="94">
        <v>103</v>
      </c>
      <c r="AY202" s="165"/>
      <c r="AZ202" s="165"/>
      <c r="BA202" s="165"/>
      <c r="BD202" s="97" t="s">
        <v>556</v>
      </c>
      <c r="BE202" s="174"/>
      <c r="BF202" s="174"/>
      <c r="BG202" s="174"/>
      <c r="BH202" s="174"/>
      <c r="BI202" s="174"/>
      <c r="BJ202" s="174"/>
      <c r="BK202" s="173">
        <v>2.5999999999999999E-2</v>
      </c>
      <c r="BL202" s="174"/>
      <c r="BM202" s="174"/>
      <c r="BN202" s="96">
        <v>20.9</v>
      </c>
    </row>
    <row r="203" spans="2:66" ht="27" customHeight="1" thickBot="1">
      <c r="AC203" s="93" t="s">
        <v>558</v>
      </c>
      <c r="AD203" s="164">
        <v>225</v>
      </c>
      <c r="AE203" s="164">
        <v>225</v>
      </c>
      <c r="AF203" s="164">
        <v>205</v>
      </c>
      <c r="AG203" s="164">
        <v>194</v>
      </c>
      <c r="AH203" s="94">
        <v>130</v>
      </c>
      <c r="AI203" s="165"/>
      <c r="AJ203" s="166"/>
      <c r="AK203" s="164">
        <v>65</v>
      </c>
      <c r="AL203" s="164">
        <v>65</v>
      </c>
      <c r="AM203" s="164">
        <v>20</v>
      </c>
      <c r="AN203" s="164">
        <v>20</v>
      </c>
      <c r="AQ203" s="93" t="s">
        <v>557</v>
      </c>
      <c r="AR203" s="166"/>
      <c r="AS203" s="166"/>
      <c r="AT203" s="165"/>
      <c r="AU203" s="166"/>
      <c r="AV203" s="166"/>
      <c r="AW203" s="166"/>
      <c r="AX203" s="164">
        <v>133</v>
      </c>
      <c r="AY203" s="166"/>
      <c r="AZ203" s="165"/>
      <c r="BA203" s="166"/>
      <c r="BD203" s="97" t="s">
        <v>557</v>
      </c>
      <c r="BE203" s="175"/>
      <c r="BF203" s="175"/>
      <c r="BG203" s="175"/>
      <c r="BH203" s="175"/>
      <c r="BI203" s="175"/>
      <c r="BJ203" s="175"/>
      <c r="BK203" s="175"/>
      <c r="BL203" s="175"/>
      <c r="BM203" s="175"/>
      <c r="BN203" s="96">
        <v>26.8</v>
      </c>
    </row>
    <row r="204" spans="2:66" ht="27" customHeight="1" thickBot="1">
      <c r="AC204" s="93" t="s">
        <v>559</v>
      </c>
      <c r="AD204" s="165"/>
      <c r="AE204" s="165"/>
      <c r="AF204" s="165"/>
      <c r="AG204" s="165"/>
      <c r="AH204" s="164">
        <v>145</v>
      </c>
      <c r="AI204" s="165"/>
      <c r="AJ204" s="94">
        <v>115</v>
      </c>
      <c r="AK204" s="165"/>
      <c r="AL204" s="165"/>
      <c r="AM204" s="165"/>
      <c r="AN204" s="165"/>
      <c r="AQ204" s="93" t="s">
        <v>558</v>
      </c>
      <c r="AR204" s="164">
        <v>18</v>
      </c>
      <c r="AS204" s="164">
        <v>19</v>
      </c>
      <c r="AT204" s="165"/>
      <c r="AU204" s="94">
        <v>128.80000000000001</v>
      </c>
      <c r="AV204" s="164">
        <v>54</v>
      </c>
      <c r="AW204" s="164">
        <v>54</v>
      </c>
      <c r="AX204" s="166"/>
      <c r="AY204" s="164">
        <v>45</v>
      </c>
      <c r="AZ204" s="165"/>
      <c r="BA204" s="164">
        <v>57.3</v>
      </c>
      <c r="BD204" s="97" t="s">
        <v>558</v>
      </c>
      <c r="BE204" s="173">
        <v>261</v>
      </c>
      <c r="BF204" s="173">
        <v>54</v>
      </c>
      <c r="BG204" s="173">
        <v>54</v>
      </c>
      <c r="BH204" s="173">
        <v>51</v>
      </c>
      <c r="BI204" s="173">
        <v>74</v>
      </c>
      <c r="BJ204" s="173">
        <v>32</v>
      </c>
      <c r="BK204" s="96">
        <v>7.0000000000000007E-2</v>
      </c>
      <c r="BL204" s="173">
        <v>1.2200000000000001E-2</v>
      </c>
      <c r="BM204" s="173">
        <v>2.7300000000000001E-2</v>
      </c>
      <c r="BN204" s="96">
        <v>40.9</v>
      </c>
    </row>
    <row r="205" spans="2:66" ht="26.25" customHeight="1" thickBot="1">
      <c r="AC205" s="93" t="s">
        <v>560</v>
      </c>
      <c r="AD205" s="165"/>
      <c r="AE205" s="165"/>
      <c r="AF205" s="165"/>
      <c r="AG205" s="165"/>
      <c r="AH205" s="166"/>
      <c r="AI205" s="165"/>
      <c r="AJ205" s="94">
        <v>160</v>
      </c>
      <c r="AK205" s="165"/>
      <c r="AL205" s="165"/>
      <c r="AM205" s="165"/>
      <c r="AN205" s="165"/>
      <c r="AQ205" s="93" t="s">
        <v>559</v>
      </c>
      <c r="AR205" s="165"/>
      <c r="AS205" s="165"/>
      <c r="AT205" s="165"/>
      <c r="AU205" s="164">
        <v>144.30000000000001</v>
      </c>
      <c r="AV205" s="165"/>
      <c r="AW205" s="165"/>
      <c r="AX205" s="94">
        <v>118</v>
      </c>
      <c r="AY205" s="165"/>
      <c r="AZ205" s="165"/>
      <c r="BA205" s="165"/>
      <c r="BD205" s="97" t="s">
        <v>559</v>
      </c>
      <c r="BE205" s="174"/>
      <c r="BF205" s="174"/>
      <c r="BG205" s="174"/>
      <c r="BH205" s="174"/>
      <c r="BI205" s="174"/>
      <c r="BJ205" s="174"/>
      <c r="BK205" s="173">
        <v>6.5000000000000002E-2</v>
      </c>
      <c r="BL205" s="174"/>
      <c r="BM205" s="174"/>
      <c r="BN205" s="96">
        <v>35.4</v>
      </c>
    </row>
    <row r="206" spans="2:66" ht="27" customHeight="1" thickBot="1">
      <c r="AC206" s="93" t="s">
        <v>561</v>
      </c>
      <c r="AD206" s="165"/>
      <c r="AE206" s="165"/>
      <c r="AF206" s="165"/>
      <c r="AG206" s="165"/>
      <c r="AH206" s="164">
        <v>158</v>
      </c>
      <c r="AI206" s="165"/>
      <c r="AJ206" s="94">
        <v>115</v>
      </c>
      <c r="AK206" s="165"/>
      <c r="AL206" s="165"/>
      <c r="AM206" s="165"/>
      <c r="AN206" s="165"/>
      <c r="AQ206" s="93" t="s">
        <v>560</v>
      </c>
      <c r="AR206" s="165"/>
      <c r="AS206" s="165"/>
      <c r="AT206" s="165"/>
      <c r="AU206" s="166"/>
      <c r="AV206" s="165"/>
      <c r="AW206" s="165"/>
      <c r="AX206" s="94">
        <v>163</v>
      </c>
      <c r="AY206" s="165"/>
      <c r="AZ206" s="165"/>
      <c r="BA206" s="165"/>
      <c r="BD206" s="97" t="s">
        <v>560</v>
      </c>
      <c r="BE206" s="174"/>
      <c r="BF206" s="174"/>
      <c r="BG206" s="174"/>
      <c r="BH206" s="174"/>
      <c r="BI206" s="174"/>
      <c r="BJ206" s="174"/>
      <c r="BK206" s="175"/>
      <c r="BL206" s="174"/>
      <c r="BM206" s="174"/>
      <c r="BN206" s="96">
        <v>46.5</v>
      </c>
    </row>
    <row r="207" spans="2:66" ht="26.25" customHeight="1" thickBot="1">
      <c r="AC207" s="93" t="s">
        <v>562</v>
      </c>
      <c r="AD207" s="165"/>
      <c r="AE207" s="165"/>
      <c r="AF207" s="165"/>
      <c r="AG207" s="165"/>
      <c r="AH207" s="165"/>
      <c r="AI207" s="165"/>
      <c r="AJ207" s="94">
        <v>160</v>
      </c>
      <c r="AK207" s="165"/>
      <c r="AL207" s="165"/>
      <c r="AM207" s="165"/>
      <c r="AN207" s="165"/>
      <c r="AQ207" s="93" t="s">
        <v>561</v>
      </c>
      <c r="AR207" s="165"/>
      <c r="AS207" s="165"/>
      <c r="AT207" s="165"/>
      <c r="AU207" s="164">
        <v>157.30000000000001</v>
      </c>
      <c r="AV207" s="165"/>
      <c r="AW207" s="165"/>
      <c r="AX207" s="94">
        <v>118</v>
      </c>
      <c r="AY207" s="165"/>
      <c r="AZ207" s="165"/>
      <c r="BA207" s="165"/>
      <c r="BD207" s="97" t="s">
        <v>561</v>
      </c>
      <c r="BE207" s="174"/>
      <c r="BF207" s="174"/>
      <c r="BG207" s="174"/>
      <c r="BH207" s="174"/>
      <c r="BI207" s="174"/>
      <c r="BJ207" s="174"/>
      <c r="BK207" s="173">
        <v>0.05</v>
      </c>
      <c r="BL207" s="174"/>
      <c r="BM207" s="174"/>
      <c r="BN207" s="96">
        <v>34.1</v>
      </c>
    </row>
    <row r="208" spans="2:66" ht="27" customHeight="1" thickBot="1">
      <c r="AC208" s="93" t="s">
        <v>563</v>
      </c>
      <c r="AD208" s="165"/>
      <c r="AE208" s="165"/>
      <c r="AF208" s="165"/>
      <c r="AG208" s="165"/>
      <c r="AH208" s="165"/>
      <c r="AI208" s="165"/>
      <c r="AJ208" s="94">
        <v>115</v>
      </c>
      <c r="AK208" s="165"/>
      <c r="AL208" s="165"/>
      <c r="AM208" s="165"/>
      <c r="AN208" s="165"/>
      <c r="AQ208" s="93" t="s">
        <v>562</v>
      </c>
      <c r="AR208" s="165"/>
      <c r="AS208" s="165"/>
      <c r="AT208" s="165"/>
      <c r="AU208" s="165"/>
      <c r="AV208" s="165"/>
      <c r="AW208" s="165"/>
      <c r="AX208" s="94">
        <v>163</v>
      </c>
      <c r="AY208" s="165"/>
      <c r="AZ208" s="165"/>
      <c r="BA208" s="165"/>
      <c r="BD208" s="97" t="s">
        <v>562</v>
      </c>
      <c r="BE208" s="174"/>
      <c r="BF208" s="174"/>
      <c r="BG208" s="174"/>
      <c r="BH208" s="174"/>
      <c r="BI208" s="174"/>
      <c r="BJ208" s="174"/>
      <c r="BK208" s="175"/>
      <c r="BL208" s="174"/>
      <c r="BM208" s="174"/>
      <c r="BN208" s="96">
        <v>45</v>
      </c>
    </row>
    <row r="209" spans="29:66" ht="26.25" customHeight="1" thickBot="1">
      <c r="AC209" s="93" t="s">
        <v>564</v>
      </c>
      <c r="AD209" s="166"/>
      <c r="AE209" s="166"/>
      <c r="AF209" s="166"/>
      <c r="AG209" s="166"/>
      <c r="AH209" s="166"/>
      <c r="AI209" s="166"/>
      <c r="AJ209" s="94">
        <v>160</v>
      </c>
      <c r="AK209" s="166"/>
      <c r="AL209" s="166"/>
      <c r="AM209" s="166"/>
      <c r="AN209" s="166"/>
      <c r="AQ209" s="93" t="s">
        <v>563</v>
      </c>
      <c r="AR209" s="165"/>
      <c r="AS209" s="165"/>
      <c r="AT209" s="165"/>
      <c r="AU209" s="165"/>
      <c r="AV209" s="165"/>
      <c r="AW209" s="165"/>
      <c r="AX209" s="94">
        <v>118</v>
      </c>
      <c r="AY209" s="165"/>
      <c r="AZ209" s="165"/>
      <c r="BA209" s="165"/>
      <c r="BD209" s="97" t="s">
        <v>563</v>
      </c>
      <c r="BE209" s="174"/>
      <c r="BF209" s="174"/>
      <c r="BG209" s="174"/>
      <c r="BH209" s="174"/>
      <c r="BI209" s="174"/>
      <c r="BJ209" s="174"/>
      <c r="BK209" s="173">
        <v>4.2000000000000003E-2</v>
      </c>
      <c r="BL209" s="174"/>
      <c r="BM209" s="174"/>
      <c r="BN209" s="96">
        <v>34.1</v>
      </c>
    </row>
    <row r="210" spans="29:66" ht="26.25" customHeight="1" thickBot="1">
      <c r="AC210" s="93" t="s">
        <v>565</v>
      </c>
      <c r="AD210" s="164">
        <v>116</v>
      </c>
      <c r="AE210" s="164">
        <v>116</v>
      </c>
      <c r="AF210" s="164">
        <v>105</v>
      </c>
      <c r="AG210" s="164">
        <v>74</v>
      </c>
      <c r="AH210" s="164">
        <v>70</v>
      </c>
      <c r="AI210" s="164" t="s">
        <v>527</v>
      </c>
      <c r="AJ210" s="94">
        <v>74</v>
      </c>
      <c r="AK210" s="94">
        <v>42</v>
      </c>
      <c r="AL210" s="94">
        <v>42</v>
      </c>
      <c r="AM210" s="164">
        <v>10</v>
      </c>
      <c r="AN210" s="164">
        <v>10</v>
      </c>
      <c r="AQ210" s="93" t="s">
        <v>564</v>
      </c>
      <c r="AR210" s="166"/>
      <c r="AS210" s="166"/>
      <c r="AT210" s="166"/>
      <c r="AU210" s="166"/>
      <c r="AV210" s="166"/>
      <c r="AW210" s="166"/>
      <c r="AX210" s="94">
        <v>163</v>
      </c>
      <c r="AY210" s="166"/>
      <c r="AZ210" s="166"/>
      <c r="BA210" s="166"/>
      <c r="BD210" s="97" t="s">
        <v>564</v>
      </c>
      <c r="BE210" s="175"/>
      <c r="BF210" s="175"/>
      <c r="BG210" s="175"/>
      <c r="BH210" s="175"/>
      <c r="BI210" s="175"/>
      <c r="BJ210" s="175"/>
      <c r="BK210" s="175"/>
      <c r="BL210" s="175"/>
      <c r="BM210" s="175"/>
      <c r="BN210" s="96">
        <v>49.2</v>
      </c>
    </row>
    <row r="211" spans="29:66" ht="26.25" customHeight="1" thickBot="1">
      <c r="AC211" s="93" t="s">
        <v>566</v>
      </c>
      <c r="AD211" s="166"/>
      <c r="AE211" s="166"/>
      <c r="AF211" s="166"/>
      <c r="AG211" s="166"/>
      <c r="AH211" s="166"/>
      <c r="AI211" s="165"/>
      <c r="AJ211" s="94">
        <v>90</v>
      </c>
      <c r="AK211" s="94">
        <v>37</v>
      </c>
      <c r="AL211" s="94">
        <v>37</v>
      </c>
      <c r="AM211" s="165"/>
      <c r="AN211" s="165"/>
      <c r="AQ211" s="93" t="s">
        <v>565</v>
      </c>
      <c r="AR211" s="164">
        <v>10</v>
      </c>
      <c r="AS211" s="164">
        <v>13</v>
      </c>
      <c r="AT211" s="164">
        <v>4</v>
      </c>
      <c r="AU211" s="164">
        <v>69.5</v>
      </c>
      <c r="AV211" s="164">
        <v>27</v>
      </c>
      <c r="AW211" s="164">
        <v>27</v>
      </c>
      <c r="AX211" s="94">
        <v>74</v>
      </c>
      <c r="AY211" s="94">
        <v>22</v>
      </c>
      <c r="AZ211" s="164">
        <v>5</v>
      </c>
      <c r="BA211" s="164">
        <v>29.1</v>
      </c>
      <c r="BD211" s="97" t="s">
        <v>565</v>
      </c>
      <c r="BE211" s="173">
        <v>134</v>
      </c>
      <c r="BF211" s="173">
        <v>25</v>
      </c>
      <c r="BG211" s="173">
        <v>25</v>
      </c>
      <c r="BH211" s="173">
        <v>30</v>
      </c>
      <c r="BI211" s="173">
        <v>49</v>
      </c>
      <c r="BJ211" s="173">
        <v>25</v>
      </c>
      <c r="BK211" s="173">
        <v>1.7999999999999999E-2</v>
      </c>
      <c r="BL211" s="173">
        <v>2.5000000000000001E-3</v>
      </c>
      <c r="BM211" s="173">
        <v>3.5000000000000001E-3</v>
      </c>
      <c r="BN211" s="96">
        <v>6.2</v>
      </c>
    </row>
    <row r="212" spans="29:66" ht="26.25" customHeight="1" thickBot="1">
      <c r="AC212" s="93" t="s">
        <v>567</v>
      </c>
      <c r="AD212" s="94">
        <v>131</v>
      </c>
      <c r="AE212" s="94">
        <v>131</v>
      </c>
      <c r="AF212" s="94">
        <v>123</v>
      </c>
      <c r="AG212" s="94">
        <v>90</v>
      </c>
      <c r="AH212" s="94">
        <v>84</v>
      </c>
      <c r="AI212" s="165"/>
      <c r="AJ212" s="94">
        <v>98</v>
      </c>
      <c r="AK212" s="94">
        <v>45</v>
      </c>
      <c r="AL212" s="94">
        <v>45</v>
      </c>
      <c r="AM212" s="166"/>
      <c r="AN212" s="166"/>
      <c r="AQ212" s="93" t="s">
        <v>566</v>
      </c>
      <c r="AR212" s="165"/>
      <c r="AS212" s="166"/>
      <c r="AT212" s="165"/>
      <c r="AU212" s="166"/>
      <c r="AV212" s="166"/>
      <c r="AW212" s="166"/>
      <c r="AX212" s="94">
        <v>90</v>
      </c>
      <c r="AY212" s="94">
        <v>16</v>
      </c>
      <c r="AZ212" s="166"/>
      <c r="BA212" s="166"/>
      <c r="BD212" s="97" t="s">
        <v>566</v>
      </c>
      <c r="BE212" s="175"/>
      <c r="BF212" s="175"/>
      <c r="BG212" s="175"/>
      <c r="BH212" s="175"/>
      <c r="BI212" s="174"/>
      <c r="BJ212" s="174"/>
      <c r="BK212" s="175"/>
      <c r="BL212" s="175"/>
      <c r="BM212" s="174"/>
      <c r="BN212" s="96">
        <v>6.8</v>
      </c>
    </row>
    <row r="213" spans="29:66" ht="26.25" customHeight="1" thickBot="1">
      <c r="AC213" s="93" t="s">
        <v>568</v>
      </c>
      <c r="AD213" s="164">
        <v>149</v>
      </c>
      <c r="AE213" s="164">
        <v>149</v>
      </c>
      <c r="AF213" s="164">
        <v>135</v>
      </c>
      <c r="AG213" s="164">
        <v>100</v>
      </c>
      <c r="AH213" s="164">
        <v>95</v>
      </c>
      <c r="AI213" s="165"/>
      <c r="AJ213" s="94">
        <v>90</v>
      </c>
      <c r="AK213" s="164">
        <v>44</v>
      </c>
      <c r="AL213" s="164">
        <v>44</v>
      </c>
      <c r="AM213" s="164">
        <v>12</v>
      </c>
      <c r="AN213" s="164">
        <v>12</v>
      </c>
      <c r="AQ213" s="93" t="s">
        <v>622</v>
      </c>
      <c r="AR213" s="166"/>
      <c r="AS213" s="94">
        <v>10</v>
      </c>
      <c r="AT213" s="165"/>
      <c r="AU213" s="94">
        <v>83.5</v>
      </c>
      <c r="AV213" s="164">
        <v>32</v>
      </c>
      <c r="AW213" s="164">
        <v>32</v>
      </c>
      <c r="AX213" s="94">
        <v>98</v>
      </c>
      <c r="AY213" s="94">
        <v>20</v>
      </c>
      <c r="AZ213" s="164">
        <v>6</v>
      </c>
      <c r="BA213" s="164">
        <v>34.799999999999997</v>
      </c>
      <c r="BD213" s="97" t="s">
        <v>622</v>
      </c>
      <c r="BE213" s="96">
        <v>150</v>
      </c>
      <c r="BF213" s="173">
        <v>30</v>
      </c>
      <c r="BG213" s="173">
        <v>30</v>
      </c>
      <c r="BH213" s="96">
        <v>32.5</v>
      </c>
      <c r="BI213" s="175"/>
      <c r="BJ213" s="174"/>
      <c r="BK213" s="96">
        <v>2.7E-2</v>
      </c>
      <c r="BL213" s="96">
        <v>3.0000000000000001E-3</v>
      </c>
      <c r="BM213" s="175"/>
      <c r="BN213" s="96">
        <v>10.1</v>
      </c>
    </row>
    <row r="214" spans="29:66" ht="26.25" customHeight="1" thickBot="1">
      <c r="AC214" s="93" t="s">
        <v>569</v>
      </c>
      <c r="AD214" s="165"/>
      <c r="AE214" s="165"/>
      <c r="AF214" s="165"/>
      <c r="AG214" s="166"/>
      <c r="AH214" s="166"/>
      <c r="AI214" s="165"/>
      <c r="AJ214" s="94">
        <v>120</v>
      </c>
      <c r="AK214" s="166"/>
      <c r="AL214" s="166"/>
      <c r="AM214" s="165"/>
      <c r="AN214" s="165"/>
      <c r="AQ214" s="93" t="s">
        <v>568</v>
      </c>
      <c r="AR214" s="164">
        <v>12</v>
      </c>
      <c r="AS214" s="164">
        <v>12</v>
      </c>
      <c r="AT214" s="165"/>
      <c r="AU214" s="164">
        <v>94.5</v>
      </c>
      <c r="AV214" s="165"/>
      <c r="AW214" s="165"/>
      <c r="AX214" s="94">
        <v>90</v>
      </c>
      <c r="AY214" s="164">
        <v>22</v>
      </c>
      <c r="AZ214" s="165"/>
      <c r="BA214" s="165"/>
      <c r="BD214" s="97" t="s">
        <v>568</v>
      </c>
      <c r="BE214" s="96">
        <v>172</v>
      </c>
      <c r="BF214" s="175"/>
      <c r="BG214" s="175"/>
      <c r="BH214" s="96">
        <v>38</v>
      </c>
      <c r="BI214" s="96">
        <v>55</v>
      </c>
      <c r="BJ214" s="175"/>
      <c r="BK214" s="96">
        <v>3.9E-2</v>
      </c>
      <c r="BL214" s="96">
        <v>4.0000000000000001E-3</v>
      </c>
      <c r="BM214" s="96">
        <v>4.4999999999999997E-3</v>
      </c>
      <c r="BN214" s="96">
        <v>11</v>
      </c>
    </row>
    <row r="215" spans="29:66" ht="26.25" customHeight="1" thickBot="1">
      <c r="AC215" s="93" t="s">
        <v>570</v>
      </c>
      <c r="AD215" s="165"/>
      <c r="AE215" s="165"/>
      <c r="AF215" s="165"/>
      <c r="AG215" s="164">
        <v>105</v>
      </c>
      <c r="AH215" s="164">
        <v>100</v>
      </c>
      <c r="AI215" s="165"/>
      <c r="AJ215" s="94">
        <v>110</v>
      </c>
      <c r="AK215" s="94">
        <v>45</v>
      </c>
      <c r="AL215" s="94">
        <v>45</v>
      </c>
      <c r="AM215" s="165"/>
      <c r="AN215" s="165"/>
      <c r="AQ215" s="93" t="s">
        <v>569</v>
      </c>
      <c r="AR215" s="165"/>
      <c r="AS215" s="165"/>
      <c r="AT215" s="165"/>
      <c r="AU215" s="166"/>
      <c r="AV215" s="165"/>
      <c r="AW215" s="165"/>
      <c r="AX215" s="94">
        <v>120</v>
      </c>
      <c r="AY215" s="166"/>
      <c r="AZ215" s="165"/>
      <c r="BA215" s="165"/>
      <c r="BD215" s="173" t="s">
        <v>569</v>
      </c>
      <c r="BE215" s="173">
        <v>172</v>
      </c>
      <c r="BF215" s="173">
        <v>30</v>
      </c>
      <c r="BG215" s="173">
        <v>30</v>
      </c>
      <c r="BH215" s="173">
        <v>38</v>
      </c>
      <c r="BI215" s="173">
        <v>55</v>
      </c>
      <c r="BJ215" s="173">
        <v>25</v>
      </c>
      <c r="BK215" s="173">
        <v>3.9E-2</v>
      </c>
      <c r="BL215" s="173">
        <v>4.0000000000000001E-3</v>
      </c>
      <c r="BM215" s="173">
        <v>4.4999999999999997E-3</v>
      </c>
      <c r="BN215" s="96"/>
    </row>
    <row r="216" spans="29:66" ht="26.25" customHeight="1" thickBot="1">
      <c r="AC216" s="93" t="s">
        <v>571</v>
      </c>
      <c r="AD216" s="166"/>
      <c r="AE216" s="166"/>
      <c r="AF216" s="166"/>
      <c r="AG216" s="166"/>
      <c r="AH216" s="166"/>
      <c r="AI216" s="165"/>
      <c r="AJ216" s="94">
        <v>100</v>
      </c>
      <c r="AK216" s="94">
        <v>36</v>
      </c>
      <c r="AL216" s="94">
        <v>36</v>
      </c>
      <c r="AM216" s="166"/>
      <c r="AN216" s="165"/>
      <c r="AQ216" s="93" t="s">
        <v>570</v>
      </c>
      <c r="AR216" s="165"/>
      <c r="AS216" s="165"/>
      <c r="AT216" s="165"/>
      <c r="AU216" s="164">
        <v>99.5</v>
      </c>
      <c r="AV216" s="165"/>
      <c r="AW216" s="165"/>
      <c r="AX216" s="94">
        <v>110</v>
      </c>
      <c r="AY216" s="164">
        <v>30</v>
      </c>
      <c r="AZ216" s="165"/>
      <c r="BA216" s="165"/>
      <c r="BD216" s="175"/>
      <c r="BE216" s="174"/>
      <c r="BF216" s="174"/>
      <c r="BG216" s="174"/>
      <c r="BH216" s="174"/>
      <c r="BI216" s="174"/>
      <c r="BJ216" s="174"/>
      <c r="BK216" s="175"/>
      <c r="BL216" s="174"/>
      <c r="BM216" s="174"/>
      <c r="BN216" s="96">
        <v>14.3</v>
      </c>
    </row>
    <row r="217" spans="29:66" ht="26.25" customHeight="1" thickBot="1">
      <c r="AC217" s="93" t="s">
        <v>572</v>
      </c>
      <c r="AD217" s="164">
        <v>168</v>
      </c>
      <c r="AE217" s="164">
        <v>168</v>
      </c>
      <c r="AF217" s="164">
        <v>158</v>
      </c>
      <c r="AG217" s="164">
        <v>109</v>
      </c>
      <c r="AH217" s="164">
        <v>105</v>
      </c>
      <c r="AI217" s="165"/>
      <c r="AJ217" s="94">
        <v>110</v>
      </c>
      <c r="AK217" s="164">
        <v>47</v>
      </c>
      <c r="AL217" s="164">
        <v>47</v>
      </c>
      <c r="AM217" s="164">
        <v>14</v>
      </c>
      <c r="AN217" s="165"/>
      <c r="AQ217" s="93" t="s">
        <v>571</v>
      </c>
      <c r="AR217" s="166"/>
      <c r="AS217" s="166"/>
      <c r="AT217" s="165"/>
      <c r="AU217" s="166"/>
      <c r="AV217" s="166"/>
      <c r="AW217" s="166"/>
      <c r="AX217" s="94">
        <v>100</v>
      </c>
      <c r="AY217" s="166"/>
      <c r="AZ217" s="165"/>
      <c r="BA217" s="166"/>
      <c r="BD217" s="97" t="s">
        <v>570</v>
      </c>
      <c r="BE217" s="174"/>
      <c r="BF217" s="174"/>
      <c r="BG217" s="174"/>
      <c r="BH217" s="174"/>
      <c r="BI217" s="174"/>
      <c r="BJ217" s="174"/>
      <c r="BK217" s="173">
        <v>2.8000000000000001E-2</v>
      </c>
      <c r="BL217" s="174"/>
      <c r="BM217" s="174"/>
      <c r="BN217" s="96">
        <v>13.5</v>
      </c>
    </row>
    <row r="218" spans="29:66" ht="26.25" customHeight="1" thickBot="1">
      <c r="AC218" s="93" t="s">
        <v>573</v>
      </c>
      <c r="AD218" s="166"/>
      <c r="AE218" s="166"/>
      <c r="AF218" s="166"/>
      <c r="AG218" s="166"/>
      <c r="AH218" s="166"/>
      <c r="AI218" s="166"/>
      <c r="AJ218" s="94">
        <v>140</v>
      </c>
      <c r="AK218" s="166"/>
      <c r="AL218" s="166"/>
      <c r="AM218" s="166"/>
      <c r="AN218" s="166"/>
      <c r="AQ218" s="93" t="s">
        <v>572</v>
      </c>
      <c r="AR218" s="164">
        <v>14</v>
      </c>
      <c r="AS218" s="164">
        <v>14</v>
      </c>
      <c r="AT218" s="165"/>
      <c r="AU218" s="164">
        <v>104.4</v>
      </c>
      <c r="AV218" s="164">
        <v>37</v>
      </c>
      <c r="AW218" s="164">
        <v>37</v>
      </c>
      <c r="AX218" s="94">
        <v>110</v>
      </c>
      <c r="AY218" s="164">
        <v>23</v>
      </c>
      <c r="AZ218" s="165"/>
      <c r="BA218" s="164">
        <v>39.799999999999997</v>
      </c>
      <c r="BD218" s="97" t="s">
        <v>571</v>
      </c>
      <c r="BE218" s="175"/>
      <c r="BF218" s="175"/>
      <c r="BG218" s="175"/>
      <c r="BH218" s="175"/>
      <c r="BI218" s="175"/>
      <c r="BJ218" s="175"/>
      <c r="BK218" s="175"/>
      <c r="BL218" s="175"/>
      <c r="BM218" s="175"/>
      <c r="BN218" s="96">
        <v>12.5</v>
      </c>
    </row>
    <row r="219" spans="29:66" ht="26.25" customHeight="1" thickBot="1">
      <c r="AC219" s="93" t="s">
        <v>574</v>
      </c>
      <c r="AD219" s="164">
        <v>168</v>
      </c>
      <c r="AE219" s="164">
        <v>168</v>
      </c>
      <c r="AF219" s="164">
        <v>158</v>
      </c>
      <c r="AG219" s="164">
        <v>109</v>
      </c>
      <c r="AH219" s="164">
        <v>105</v>
      </c>
      <c r="AI219" s="164" t="s">
        <v>527</v>
      </c>
      <c r="AJ219" s="94">
        <v>110</v>
      </c>
      <c r="AK219" s="164">
        <v>47</v>
      </c>
      <c r="AL219" s="164">
        <v>47</v>
      </c>
      <c r="AM219" s="164">
        <v>14</v>
      </c>
      <c r="AN219" s="164">
        <v>14</v>
      </c>
      <c r="AQ219" s="93" t="s">
        <v>573</v>
      </c>
      <c r="AR219" s="166"/>
      <c r="AS219" s="166"/>
      <c r="AT219" s="166"/>
      <c r="AU219" s="166"/>
      <c r="AV219" s="166"/>
      <c r="AW219" s="166"/>
      <c r="AX219" s="94">
        <v>140</v>
      </c>
      <c r="AY219" s="166"/>
      <c r="AZ219" s="166"/>
      <c r="BA219" s="166"/>
      <c r="BD219" s="97" t="s">
        <v>572</v>
      </c>
      <c r="BE219" s="173">
        <v>194</v>
      </c>
      <c r="BF219" s="173">
        <v>35</v>
      </c>
      <c r="BG219" s="173">
        <v>35</v>
      </c>
      <c r="BH219" s="173">
        <v>45</v>
      </c>
      <c r="BI219" s="173">
        <v>59</v>
      </c>
      <c r="BJ219" s="173">
        <v>28</v>
      </c>
      <c r="BK219" s="173">
        <v>4.8000000000000001E-2</v>
      </c>
      <c r="BL219" s="173">
        <v>5.0000000000000001E-3</v>
      </c>
      <c r="BM219" s="173">
        <v>6.4999999999999997E-3</v>
      </c>
      <c r="BN219" s="96">
        <v>18.7</v>
      </c>
    </row>
    <row r="220" spans="29:66" ht="26.25" customHeight="1" thickBot="1">
      <c r="AC220" s="93" t="s">
        <v>575</v>
      </c>
      <c r="AD220" s="165"/>
      <c r="AE220" s="165"/>
      <c r="AF220" s="165"/>
      <c r="AG220" s="166"/>
      <c r="AH220" s="166"/>
      <c r="AI220" s="165"/>
      <c r="AJ220" s="94">
        <v>140</v>
      </c>
      <c r="AK220" s="165"/>
      <c r="AL220" s="165"/>
      <c r="AM220" s="165"/>
      <c r="AN220" s="165"/>
      <c r="AQ220" s="93" t="s">
        <v>574</v>
      </c>
      <c r="AR220" s="94">
        <v>14</v>
      </c>
      <c r="AS220" s="94">
        <v>14</v>
      </c>
      <c r="AT220" s="94">
        <v>4</v>
      </c>
      <c r="AU220" s="94">
        <v>104.4</v>
      </c>
      <c r="AV220" s="94">
        <v>37</v>
      </c>
      <c r="AW220" s="94">
        <v>37</v>
      </c>
      <c r="AX220" s="94">
        <v>110</v>
      </c>
      <c r="AY220" s="94">
        <v>23</v>
      </c>
      <c r="AZ220" s="94">
        <v>6</v>
      </c>
      <c r="BA220" s="94">
        <v>39.799999999999997</v>
      </c>
      <c r="BD220" s="97" t="s">
        <v>573</v>
      </c>
      <c r="BE220" s="174"/>
      <c r="BF220" s="174"/>
      <c r="BG220" s="174"/>
      <c r="BH220" s="174"/>
      <c r="BI220" s="174"/>
      <c r="BJ220" s="174"/>
      <c r="BK220" s="175"/>
      <c r="BL220" s="174"/>
      <c r="BM220" s="174"/>
      <c r="BN220" s="96">
        <v>22.6</v>
      </c>
    </row>
    <row r="221" spans="29:66" ht="26.25" customHeight="1" thickBot="1">
      <c r="AC221" s="93" t="s">
        <v>576</v>
      </c>
      <c r="AD221" s="165"/>
      <c r="AE221" s="165"/>
      <c r="AF221" s="165"/>
      <c r="AG221" s="164">
        <v>118</v>
      </c>
      <c r="AH221" s="164">
        <v>113</v>
      </c>
      <c r="AI221" s="165"/>
      <c r="AJ221" s="94">
        <v>110</v>
      </c>
      <c r="AK221" s="165"/>
      <c r="AL221" s="165"/>
      <c r="AM221" s="165"/>
      <c r="AN221" s="165"/>
      <c r="AQ221" s="93" t="s">
        <v>623</v>
      </c>
      <c r="AR221" s="164">
        <v>14</v>
      </c>
      <c r="AS221" s="164">
        <v>14</v>
      </c>
      <c r="AT221" s="164"/>
      <c r="AU221" s="94">
        <v>104.4</v>
      </c>
      <c r="AV221" s="164">
        <v>37</v>
      </c>
      <c r="AW221" s="164">
        <v>37</v>
      </c>
      <c r="AX221" s="94">
        <v>140</v>
      </c>
      <c r="AY221" s="164">
        <v>23</v>
      </c>
      <c r="AZ221" s="164">
        <v>6</v>
      </c>
      <c r="BA221" s="164">
        <v>39.799999999999997</v>
      </c>
      <c r="BD221" s="97" t="s">
        <v>574</v>
      </c>
      <c r="BE221" s="174"/>
      <c r="BF221" s="174"/>
      <c r="BG221" s="174"/>
      <c r="BH221" s="174"/>
      <c r="BI221" s="174"/>
      <c r="BJ221" s="174"/>
      <c r="BK221" s="173">
        <v>3.2000000000000001E-2</v>
      </c>
      <c r="BL221" s="174"/>
      <c r="BM221" s="174"/>
      <c r="BN221" s="96">
        <v>18.7</v>
      </c>
    </row>
    <row r="222" spans="29:66" ht="26.25" customHeight="1" thickBot="1">
      <c r="AC222" s="93" t="s">
        <v>577</v>
      </c>
      <c r="AD222" s="165"/>
      <c r="AE222" s="165"/>
      <c r="AF222" s="165"/>
      <c r="AG222" s="165"/>
      <c r="AH222" s="165"/>
      <c r="AI222" s="165"/>
      <c r="AJ222" s="94">
        <v>140</v>
      </c>
      <c r="AK222" s="165"/>
      <c r="AL222" s="165"/>
      <c r="AM222" s="165"/>
      <c r="AN222" s="165"/>
      <c r="AQ222" s="93" t="s">
        <v>576</v>
      </c>
      <c r="AR222" s="165"/>
      <c r="AS222" s="165"/>
      <c r="AT222" s="165"/>
      <c r="AU222" s="164">
        <v>112.4</v>
      </c>
      <c r="AV222" s="165"/>
      <c r="AW222" s="165"/>
      <c r="AX222" s="94">
        <v>110</v>
      </c>
      <c r="AY222" s="165"/>
      <c r="AZ222" s="165"/>
      <c r="BA222" s="165"/>
      <c r="BD222" s="97" t="s">
        <v>623</v>
      </c>
      <c r="BE222" s="174"/>
      <c r="BF222" s="174"/>
      <c r="BG222" s="174"/>
      <c r="BH222" s="174"/>
      <c r="BI222" s="174"/>
      <c r="BJ222" s="174"/>
      <c r="BK222" s="175"/>
      <c r="BL222" s="174"/>
      <c r="BM222" s="174"/>
      <c r="BN222" s="96">
        <v>22.6</v>
      </c>
    </row>
    <row r="223" spans="29:66" ht="26.25" customHeight="1" thickBot="1">
      <c r="AC223" s="93" t="s">
        <v>578</v>
      </c>
      <c r="AD223" s="165"/>
      <c r="AE223" s="165"/>
      <c r="AF223" s="165"/>
      <c r="AG223" s="165"/>
      <c r="AH223" s="165"/>
      <c r="AI223" s="165"/>
      <c r="AJ223" s="94">
        <v>110</v>
      </c>
      <c r="AK223" s="165"/>
      <c r="AL223" s="165"/>
      <c r="AM223" s="165"/>
      <c r="AN223" s="165"/>
      <c r="AQ223" s="93" t="s">
        <v>577</v>
      </c>
      <c r="AR223" s="165"/>
      <c r="AS223" s="165"/>
      <c r="AT223" s="165"/>
      <c r="AU223" s="165"/>
      <c r="AV223" s="165"/>
      <c r="AW223" s="165"/>
      <c r="AX223" s="94">
        <v>140</v>
      </c>
      <c r="AY223" s="165"/>
      <c r="AZ223" s="165"/>
      <c r="BA223" s="165"/>
      <c r="BD223" s="97" t="s">
        <v>576</v>
      </c>
      <c r="BE223" s="174"/>
      <c r="BF223" s="174"/>
      <c r="BG223" s="174"/>
      <c r="BH223" s="174"/>
      <c r="BI223" s="174"/>
      <c r="BJ223" s="174"/>
      <c r="BK223" s="173">
        <v>2.4E-2</v>
      </c>
      <c r="BL223" s="174"/>
      <c r="BM223" s="174"/>
      <c r="BN223" s="96">
        <v>17</v>
      </c>
    </row>
    <row r="224" spans="29:66" ht="26.25" customHeight="1" thickBot="1">
      <c r="AC224" s="93" t="s">
        <v>579</v>
      </c>
      <c r="AD224" s="165"/>
      <c r="AE224" s="165"/>
      <c r="AF224" s="165"/>
      <c r="AG224" s="166"/>
      <c r="AH224" s="166"/>
      <c r="AI224" s="165"/>
      <c r="AJ224" s="94">
        <v>140</v>
      </c>
      <c r="AK224" s="165"/>
      <c r="AL224" s="165"/>
      <c r="AM224" s="165"/>
      <c r="AN224" s="165"/>
      <c r="AQ224" s="93" t="s">
        <v>578</v>
      </c>
      <c r="AR224" s="165"/>
      <c r="AS224" s="165"/>
      <c r="AT224" s="165"/>
      <c r="AU224" s="165"/>
      <c r="AV224" s="165"/>
      <c r="AW224" s="165"/>
      <c r="AX224" s="94">
        <v>110</v>
      </c>
      <c r="AY224" s="165"/>
      <c r="AZ224" s="165"/>
      <c r="BA224" s="165"/>
      <c r="BD224" s="97" t="s">
        <v>577</v>
      </c>
      <c r="BE224" s="174"/>
      <c r="BF224" s="174"/>
      <c r="BG224" s="174"/>
      <c r="BH224" s="174"/>
      <c r="BI224" s="174"/>
      <c r="BJ224" s="174"/>
      <c r="BK224" s="174"/>
      <c r="BL224" s="174"/>
      <c r="BM224" s="174"/>
      <c r="BN224" s="96">
        <v>21</v>
      </c>
    </row>
    <row r="225" spans="29:66" ht="26.25" customHeight="1" thickBot="1">
      <c r="AC225" s="93" t="s">
        <v>580</v>
      </c>
      <c r="AD225" s="165"/>
      <c r="AE225" s="165"/>
      <c r="AF225" s="165"/>
      <c r="AG225" s="164">
        <v>109</v>
      </c>
      <c r="AH225" s="164">
        <v>105</v>
      </c>
      <c r="AI225" s="165"/>
      <c r="AJ225" s="94">
        <v>110</v>
      </c>
      <c r="AK225" s="165"/>
      <c r="AL225" s="165"/>
      <c r="AM225" s="165"/>
      <c r="AN225" s="165"/>
      <c r="AQ225" s="93" t="s">
        <v>579</v>
      </c>
      <c r="AR225" s="165"/>
      <c r="AS225" s="165"/>
      <c r="AT225" s="165"/>
      <c r="AU225" s="166"/>
      <c r="AV225" s="165"/>
      <c r="AW225" s="165"/>
      <c r="AX225" s="94">
        <v>140</v>
      </c>
      <c r="AY225" s="165"/>
      <c r="AZ225" s="165"/>
      <c r="BA225" s="165"/>
      <c r="BD225" s="97" t="s">
        <v>578</v>
      </c>
      <c r="BE225" s="174"/>
      <c r="BF225" s="174"/>
      <c r="BG225" s="174"/>
      <c r="BH225" s="174"/>
      <c r="BI225" s="174"/>
      <c r="BJ225" s="174"/>
      <c r="BK225" s="174"/>
      <c r="BL225" s="174"/>
      <c r="BM225" s="174"/>
      <c r="BN225" s="96">
        <v>17</v>
      </c>
    </row>
    <row r="226" spans="29:66" ht="26.25" customHeight="1" thickBot="1">
      <c r="AC226" s="93" t="s">
        <v>581</v>
      </c>
      <c r="AD226" s="165"/>
      <c r="AE226" s="165"/>
      <c r="AF226" s="165"/>
      <c r="AG226" s="165"/>
      <c r="AH226" s="165"/>
      <c r="AI226" s="165"/>
      <c r="AJ226" s="94">
        <v>140</v>
      </c>
      <c r="AK226" s="165"/>
      <c r="AL226" s="165"/>
      <c r="AM226" s="165"/>
      <c r="AN226" s="165"/>
      <c r="AQ226" s="93" t="s">
        <v>580</v>
      </c>
      <c r="AR226" s="165"/>
      <c r="AS226" s="165"/>
      <c r="AT226" s="165"/>
      <c r="AU226" s="164">
        <v>104.4</v>
      </c>
      <c r="AV226" s="165"/>
      <c r="AW226" s="165"/>
      <c r="AX226" s="94">
        <v>110</v>
      </c>
      <c r="AY226" s="165"/>
      <c r="AZ226" s="165"/>
      <c r="BA226" s="165"/>
      <c r="BD226" s="97" t="s">
        <v>579</v>
      </c>
      <c r="BE226" s="174"/>
      <c r="BF226" s="174"/>
      <c r="BG226" s="174"/>
      <c r="BH226" s="174"/>
      <c r="BI226" s="174"/>
      <c r="BJ226" s="174"/>
      <c r="BK226" s="175"/>
      <c r="BL226" s="174"/>
      <c r="BM226" s="174"/>
      <c r="BN226" s="96">
        <v>21</v>
      </c>
    </row>
    <row r="227" spans="29:66" ht="26.25" customHeight="1" thickBot="1">
      <c r="AC227" s="93" t="s">
        <v>582</v>
      </c>
      <c r="AD227" s="165"/>
      <c r="AE227" s="165"/>
      <c r="AF227" s="165"/>
      <c r="AG227" s="165"/>
      <c r="AH227" s="165"/>
      <c r="AI227" s="165"/>
      <c r="AJ227" s="94">
        <v>110</v>
      </c>
      <c r="AK227" s="165"/>
      <c r="AL227" s="165"/>
      <c r="AM227" s="165"/>
      <c r="AN227" s="165"/>
      <c r="AQ227" s="93" t="s">
        <v>581</v>
      </c>
      <c r="AR227" s="165"/>
      <c r="AS227" s="165"/>
      <c r="AT227" s="165"/>
      <c r="AU227" s="165"/>
      <c r="AV227" s="165"/>
      <c r="AW227" s="165"/>
      <c r="AX227" s="94">
        <v>140</v>
      </c>
      <c r="AY227" s="165"/>
      <c r="AZ227" s="165"/>
      <c r="BA227" s="165"/>
      <c r="BD227" s="97" t="s">
        <v>580</v>
      </c>
      <c r="BE227" s="174"/>
      <c r="BF227" s="174"/>
      <c r="BG227" s="174"/>
      <c r="BH227" s="174"/>
      <c r="BI227" s="174"/>
      <c r="BJ227" s="174"/>
      <c r="BK227" s="173">
        <v>3.0200000000000001E-2</v>
      </c>
      <c r="BL227" s="174"/>
      <c r="BM227" s="174"/>
      <c r="BN227" s="96">
        <v>18.7</v>
      </c>
    </row>
    <row r="228" spans="29:66" ht="26.25" customHeight="1" thickBot="1">
      <c r="AC228" s="93" t="s">
        <v>583</v>
      </c>
      <c r="AD228" s="165"/>
      <c r="AE228" s="165"/>
      <c r="AF228" s="165"/>
      <c r="AG228" s="166"/>
      <c r="AH228" s="166"/>
      <c r="AI228" s="166"/>
      <c r="AJ228" s="94">
        <v>140</v>
      </c>
      <c r="AK228" s="166"/>
      <c r="AL228" s="166"/>
      <c r="AM228" s="166"/>
      <c r="AN228" s="166"/>
      <c r="AQ228" s="93" t="s">
        <v>582</v>
      </c>
      <c r="AR228" s="165"/>
      <c r="AS228" s="165"/>
      <c r="AT228" s="165"/>
      <c r="AU228" s="165"/>
      <c r="AV228" s="165"/>
      <c r="AW228" s="165"/>
      <c r="AX228" s="94">
        <v>110</v>
      </c>
      <c r="AY228" s="165"/>
      <c r="AZ228" s="165"/>
      <c r="BA228" s="165"/>
      <c r="BD228" s="97" t="s">
        <v>581</v>
      </c>
      <c r="BE228" s="174"/>
      <c r="BF228" s="174"/>
      <c r="BG228" s="174"/>
      <c r="BH228" s="174"/>
      <c r="BI228" s="174"/>
      <c r="BJ228" s="174"/>
      <c r="BK228" s="175"/>
      <c r="BL228" s="174"/>
      <c r="BM228" s="174"/>
      <c r="BN228" s="96">
        <v>22.6</v>
      </c>
    </row>
    <row r="229" spans="29:66" ht="26.25" customHeight="1" thickBot="1">
      <c r="AC229" s="93" t="s">
        <v>584</v>
      </c>
      <c r="AD229" s="165"/>
      <c r="AE229" s="165"/>
      <c r="AF229" s="165"/>
      <c r="AG229" s="164">
        <v>118</v>
      </c>
      <c r="AH229" s="164">
        <v>113</v>
      </c>
      <c r="AI229" s="164"/>
      <c r="AJ229" s="94">
        <v>110</v>
      </c>
      <c r="AK229" s="164">
        <v>47</v>
      </c>
      <c r="AL229" s="164">
        <v>47</v>
      </c>
      <c r="AM229" s="164">
        <v>14</v>
      </c>
      <c r="AN229" s="164">
        <v>14</v>
      </c>
      <c r="AQ229" s="93" t="s">
        <v>583</v>
      </c>
      <c r="AR229" s="165"/>
      <c r="AS229" s="165"/>
      <c r="AT229" s="165"/>
      <c r="AU229" s="166"/>
      <c r="AV229" s="165"/>
      <c r="AW229" s="165"/>
      <c r="AX229" s="94">
        <v>140</v>
      </c>
      <c r="AY229" s="165"/>
      <c r="AZ229" s="165"/>
      <c r="BA229" s="165"/>
      <c r="BD229" s="97" t="s">
        <v>582</v>
      </c>
      <c r="BE229" s="174"/>
      <c r="BF229" s="174"/>
      <c r="BG229" s="174"/>
      <c r="BH229" s="174"/>
      <c r="BI229" s="174"/>
      <c r="BJ229" s="174"/>
      <c r="BK229" s="173">
        <v>2.4E-2</v>
      </c>
      <c r="BL229" s="174"/>
      <c r="BM229" s="174"/>
      <c r="BN229" s="96">
        <v>18.7</v>
      </c>
    </row>
    <row r="230" spans="29:66" ht="26.25" customHeight="1" thickBot="1">
      <c r="AC230" s="93" t="s">
        <v>585</v>
      </c>
      <c r="AD230" s="165"/>
      <c r="AE230" s="165"/>
      <c r="AF230" s="165"/>
      <c r="AG230" s="165"/>
      <c r="AH230" s="165"/>
      <c r="AI230" s="165"/>
      <c r="AJ230" s="94">
        <v>140</v>
      </c>
      <c r="AK230" s="165"/>
      <c r="AL230" s="165"/>
      <c r="AM230" s="165"/>
      <c r="AN230" s="165"/>
      <c r="AQ230" s="93" t="s">
        <v>584</v>
      </c>
      <c r="AR230" s="165"/>
      <c r="AS230" s="165"/>
      <c r="AT230" s="165"/>
      <c r="AU230" s="164">
        <v>112.4</v>
      </c>
      <c r="AV230" s="165"/>
      <c r="AW230" s="165"/>
      <c r="AX230" s="94">
        <v>110</v>
      </c>
      <c r="AY230" s="165"/>
      <c r="AZ230" s="165"/>
      <c r="BA230" s="165"/>
      <c r="BD230" s="97" t="s">
        <v>583</v>
      </c>
      <c r="BE230" s="174"/>
      <c r="BF230" s="174"/>
      <c r="BG230" s="174"/>
      <c r="BH230" s="174"/>
      <c r="BI230" s="174"/>
      <c r="BJ230" s="174"/>
      <c r="BK230" s="174"/>
      <c r="BL230" s="174"/>
      <c r="BM230" s="174"/>
      <c r="BN230" s="96">
        <v>22.6</v>
      </c>
    </row>
    <row r="231" spans="29:66" ht="26.25" customHeight="1" thickBot="1">
      <c r="AC231" s="93" t="s">
        <v>586</v>
      </c>
      <c r="AD231" s="165"/>
      <c r="AE231" s="165"/>
      <c r="AF231" s="165"/>
      <c r="AG231" s="165"/>
      <c r="AH231" s="165"/>
      <c r="AI231" s="165"/>
      <c r="AJ231" s="94">
        <v>110</v>
      </c>
      <c r="AK231" s="165"/>
      <c r="AL231" s="165"/>
      <c r="AM231" s="165"/>
      <c r="AN231" s="165"/>
      <c r="AQ231" s="93" t="s">
        <v>585</v>
      </c>
      <c r="AR231" s="165"/>
      <c r="AS231" s="165"/>
      <c r="AT231" s="165"/>
      <c r="AU231" s="165"/>
      <c r="AV231" s="165"/>
      <c r="AW231" s="165"/>
      <c r="AX231" s="94">
        <v>140</v>
      </c>
      <c r="AY231" s="165"/>
      <c r="AZ231" s="165"/>
      <c r="BA231" s="165"/>
      <c r="BD231" s="97" t="s">
        <v>584</v>
      </c>
      <c r="BE231" s="174"/>
      <c r="BF231" s="174"/>
      <c r="BG231" s="174"/>
      <c r="BH231" s="174"/>
      <c r="BI231" s="174"/>
      <c r="BJ231" s="174"/>
      <c r="BK231" s="174"/>
      <c r="BL231" s="174"/>
      <c r="BM231" s="174"/>
      <c r="BN231" s="96">
        <v>17</v>
      </c>
    </row>
    <row r="232" spans="29:66" ht="26.25" customHeight="1" thickBot="1">
      <c r="AC232" s="93" t="s">
        <v>587</v>
      </c>
      <c r="AD232" s="166"/>
      <c r="AE232" s="166"/>
      <c r="AF232" s="166"/>
      <c r="AG232" s="166"/>
      <c r="AH232" s="166"/>
      <c r="AI232" s="166"/>
      <c r="AJ232" s="94">
        <v>140</v>
      </c>
      <c r="AK232" s="166"/>
      <c r="AL232" s="166"/>
      <c r="AM232" s="166"/>
      <c r="AN232" s="166"/>
      <c r="AQ232" s="93" t="s">
        <v>586</v>
      </c>
      <c r="AR232" s="165"/>
      <c r="AS232" s="165"/>
      <c r="AT232" s="165"/>
      <c r="AU232" s="165"/>
      <c r="AV232" s="165"/>
      <c r="AW232" s="165"/>
      <c r="AX232" s="94">
        <v>110</v>
      </c>
      <c r="AY232" s="165"/>
      <c r="AZ232" s="165"/>
      <c r="BA232" s="165"/>
      <c r="BD232" s="97" t="s">
        <v>585</v>
      </c>
      <c r="BE232" s="174"/>
      <c r="BF232" s="174"/>
      <c r="BG232" s="174"/>
      <c r="BH232" s="174"/>
      <c r="BI232" s="174"/>
      <c r="BJ232" s="174"/>
      <c r="BK232" s="174"/>
      <c r="BL232" s="174"/>
      <c r="BM232" s="174"/>
      <c r="BN232" s="96">
        <v>21</v>
      </c>
    </row>
    <row r="233" spans="29:66" ht="26.25" customHeight="1" thickBot="1">
      <c r="AQ233" s="93" t="s">
        <v>587</v>
      </c>
      <c r="AR233" s="166"/>
      <c r="AS233" s="166"/>
      <c r="AT233" s="166"/>
      <c r="AU233" s="166"/>
      <c r="AV233" s="166"/>
      <c r="AW233" s="166"/>
      <c r="AX233" s="94">
        <v>140</v>
      </c>
      <c r="AY233" s="166"/>
      <c r="AZ233" s="166"/>
      <c r="BA233" s="166"/>
      <c r="BD233" s="97" t="s">
        <v>586</v>
      </c>
      <c r="BE233" s="174"/>
      <c r="BF233" s="174"/>
      <c r="BG233" s="174"/>
      <c r="BH233" s="174"/>
      <c r="BI233" s="174"/>
      <c r="BJ233" s="174"/>
      <c r="BK233" s="174"/>
      <c r="BL233" s="174"/>
      <c r="BM233" s="174"/>
      <c r="BN233" s="96">
        <v>17</v>
      </c>
    </row>
    <row r="234" spans="29:66" ht="15.75" thickBot="1">
      <c r="BD234" s="97" t="s">
        <v>587</v>
      </c>
      <c r="BE234" s="175"/>
      <c r="BF234" s="175"/>
      <c r="BG234" s="175"/>
      <c r="BH234" s="175"/>
      <c r="BI234" s="175"/>
      <c r="BJ234" s="175"/>
      <c r="BK234" s="175"/>
      <c r="BL234" s="175"/>
      <c r="BM234" s="175"/>
      <c r="BN234" s="96">
        <v>21</v>
      </c>
    </row>
  </sheetData>
  <mergeCells count="734">
    <mergeCell ref="BM219:BM234"/>
    <mergeCell ref="BK221:BK222"/>
    <mergeCell ref="BK223:BK226"/>
    <mergeCell ref="BK227:BK228"/>
    <mergeCell ref="BK229:BK234"/>
    <mergeCell ref="BD169:BD171"/>
    <mergeCell ref="BD215:BD216"/>
    <mergeCell ref="BE215:BE218"/>
    <mergeCell ref="BF215:BF218"/>
    <mergeCell ref="BG215:BG218"/>
    <mergeCell ref="BH215:BH218"/>
    <mergeCell ref="BI215:BI218"/>
    <mergeCell ref="BJ215:BJ218"/>
    <mergeCell ref="BK215:BK216"/>
    <mergeCell ref="BK217:BK218"/>
    <mergeCell ref="BL215:BL218"/>
    <mergeCell ref="BM215:BM218"/>
    <mergeCell ref="BE219:BE234"/>
    <mergeCell ref="BF219:BF234"/>
    <mergeCell ref="BG219:BG234"/>
    <mergeCell ref="BH219:BH234"/>
    <mergeCell ref="BI219:BI234"/>
    <mergeCell ref="BJ219:BJ234"/>
    <mergeCell ref="BE211:BE212"/>
    <mergeCell ref="BF211:BF212"/>
    <mergeCell ref="BG211:BG212"/>
    <mergeCell ref="BH211:BH212"/>
    <mergeCell ref="BI211:BI213"/>
    <mergeCell ref="BJ211:BJ214"/>
    <mergeCell ref="BK211:BK212"/>
    <mergeCell ref="BL211:BL212"/>
    <mergeCell ref="BL219:BL234"/>
    <mergeCell ref="BG204:BG210"/>
    <mergeCell ref="BH204:BH210"/>
    <mergeCell ref="BI204:BI210"/>
    <mergeCell ref="BJ204:BJ210"/>
    <mergeCell ref="BL204:BL210"/>
    <mergeCell ref="BF213:BF214"/>
    <mergeCell ref="BG213:BG214"/>
    <mergeCell ref="BM204:BM210"/>
    <mergeCell ref="BK205:BK206"/>
    <mergeCell ref="BK207:BK208"/>
    <mergeCell ref="BK209:BK210"/>
    <mergeCell ref="BK219:BK220"/>
    <mergeCell ref="BE196:BE197"/>
    <mergeCell ref="BF196:BF197"/>
    <mergeCell ref="BG196:BG197"/>
    <mergeCell ref="BH196:BH197"/>
    <mergeCell ref="BI196:BI197"/>
    <mergeCell ref="BJ196:BJ197"/>
    <mergeCell ref="BL196:BL197"/>
    <mergeCell ref="BM196:BM197"/>
    <mergeCell ref="BE198:BE203"/>
    <mergeCell ref="BF198:BF203"/>
    <mergeCell ref="BG198:BG203"/>
    <mergeCell ref="BH198:BH203"/>
    <mergeCell ref="BI198:BI203"/>
    <mergeCell ref="BJ198:BJ203"/>
    <mergeCell ref="BL198:BL203"/>
    <mergeCell ref="BM198:BM203"/>
    <mergeCell ref="BK200:BK201"/>
    <mergeCell ref="BK202:BK203"/>
    <mergeCell ref="BM211:BM213"/>
    <mergeCell ref="BE204:BE210"/>
    <mergeCell ref="BF204:BF210"/>
    <mergeCell ref="BE192:BE195"/>
    <mergeCell ref="BF192:BF195"/>
    <mergeCell ref="BG192:BG195"/>
    <mergeCell ref="BH192:BH195"/>
    <mergeCell ref="BI192:BI195"/>
    <mergeCell ref="BJ192:BJ195"/>
    <mergeCell ref="BK192:BK193"/>
    <mergeCell ref="BL192:BL195"/>
    <mergeCell ref="BM192:BM195"/>
    <mergeCell ref="BK194:BK195"/>
    <mergeCell ref="BH176:BH178"/>
    <mergeCell ref="BI176:BI186"/>
    <mergeCell ref="BJ176:BJ191"/>
    <mergeCell ref="BK176:BK177"/>
    <mergeCell ref="BL176:BL178"/>
    <mergeCell ref="BM176:BM186"/>
    <mergeCell ref="BM187:BM191"/>
    <mergeCell ref="BE179:BE186"/>
    <mergeCell ref="BF179:BF191"/>
    <mergeCell ref="BG179:BG191"/>
    <mergeCell ref="BH179:BH186"/>
    <mergeCell ref="BK179:BK180"/>
    <mergeCell ref="BL179:BL186"/>
    <mergeCell ref="BK181:BK182"/>
    <mergeCell ref="BK183:BK184"/>
    <mergeCell ref="BK185:BK186"/>
    <mergeCell ref="BE187:BE191"/>
    <mergeCell ref="BH187:BH191"/>
    <mergeCell ref="BI187:BI191"/>
    <mergeCell ref="BL187:BL191"/>
    <mergeCell ref="BK190:BK191"/>
    <mergeCell ref="BA221:BA233"/>
    <mergeCell ref="AU222:AU225"/>
    <mergeCell ref="AU226:AU229"/>
    <mergeCell ref="AU230:AU233"/>
    <mergeCell ref="BE169:BJ169"/>
    <mergeCell ref="BK169:BK171"/>
    <mergeCell ref="BL169:BM169"/>
    <mergeCell ref="BN169:BN171"/>
    <mergeCell ref="BE170:BJ170"/>
    <mergeCell ref="BL170:BL171"/>
    <mergeCell ref="BM170:BM171"/>
    <mergeCell ref="BE172:BE175"/>
    <mergeCell ref="BF172:BF175"/>
    <mergeCell ref="BG172:BG175"/>
    <mergeCell ref="BH172:BH175"/>
    <mergeCell ref="BI172:BI175"/>
    <mergeCell ref="BJ172:BJ175"/>
    <mergeCell ref="BK172:BK173"/>
    <mergeCell ref="BL172:BL175"/>
    <mergeCell ref="BM172:BM175"/>
    <mergeCell ref="BK174:BK175"/>
    <mergeCell ref="BE176:BE178"/>
    <mergeCell ref="BF176:BF178"/>
    <mergeCell ref="BG176:BG178"/>
    <mergeCell ref="BA211:BA212"/>
    <mergeCell ref="AW213:AW217"/>
    <mergeCell ref="AZ213:AZ219"/>
    <mergeCell ref="BA213:BA217"/>
    <mergeCell ref="AS214:AS217"/>
    <mergeCell ref="AU214:AU215"/>
    <mergeCell ref="AY214:AY215"/>
    <mergeCell ref="AU216:AU217"/>
    <mergeCell ref="AY216:AY217"/>
    <mergeCell ref="AS218:AS219"/>
    <mergeCell ref="AW218:AW219"/>
    <mergeCell ref="AY218:AY219"/>
    <mergeCell ref="BA218:BA219"/>
    <mergeCell ref="AZ198:AZ210"/>
    <mergeCell ref="BA198:BA203"/>
    <mergeCell ref="AU200:AU203"/>
    <mergeCell ref="AX203:AX204"/>
    <mergeCell ref="AS204:AS210"/>
    <mergeCell ref="AW204:AW210"/>
    <mergeCell ref="AY204:AY210"/>
    <mergeCell ref="BA204:BA210"/>
    <mergeCell ref="AU205:AU206"/>
    <mergeCell ref="AU207:AU210"/>
    <mergeCell ref="BA176:BA178"/>
    <mergeCell ref="AS179:AS186"/>
    <mergeCell ref="AU179:AU180"/>
    <mergeCell ref="AW179:AW191"/>
    <mergeCell ref="AY179:AY180"/>
    <mergeCell ref="AZ179:AZ197"/>
    <mergeCell ref="BA179:BA191"/>
    <mergeCell ref="AU181:AU182"/>
    <mergeCell ref="AY181:AY182"/>
    <mergeCell ref="AU183:AU186"/>
    <mergeCell ref="AY183:AY186"/>
    <mergeCell ref="AS187:AS191"/>
    <mergeCell ref="AX187:AX188"/>
    <mergeCell ref="AY187:AY190"/>
    <mergeCell ref="AU189:AU191"/>
    <mergeCell ref="AS192:AS197"/>
    <mergeCell ref="AU192:AU193"/>
    <mergeCell ref="AW192:AW197"/>
    <mergeCell ref="AY192:AY197"/>
    <mergeCell ref="BA192:BA197"/>
    <mergeCell ref="AR221:AR233"/>
    <mergeCell ref="AS221:AS233"/>
    <mergeCell ref="AV221:AV233"/>
    <mergeCell ref="AY221:AY233"/>
    <mergeCell ref="AZ221:AZ233"/>
    <mergeCell ref="AT221:AT233"/>
    <mergeCell ref="AW221:AW233"/>
    <mergeCell ref="AU211:AU212"/>
    <mergeCell ref="AV211:AV212"/>
    <mergeCell ref="AZ211:AZ212"/>
    <mergeCell ref="AV213:AV217"/>
    <mergeCell ref="AR214:AR217"/>
    <mergeCell ref="AR218:AR219"/>
    <mergeCell ref="AU218:AU219"/>
    <mergeCell ref="AV218:AV219"/>
    <mergeCell ref="AR211:AR213"/>
    <mergeCell ref="AS211:AS212"/>
    <mergeCell ref="AT211:AT219"/>
    <mergeCell ref="AW211:AW212"/>
    <mergeCell ref="AR198:AR203"/>
    <mergeCell ref="AV198:AV203"/>
    <mergeCell ref="AR204:AR210"/>
    <mergeCell ref="AV204:AV210"/>
    <mergeCell ref="AS198:AS203"/>
    <mergeCell ref="AT198:AT210"/>
    <mergeCell ref="AW198:AW203"/>
    <mergeCell ref="AX198:AX199"/>
    <mergeCell ref="AY198:AY203"/>
    <mergeCell ref="AR192:AR197"/>
    <mergeCell ref="AV192:AV197"/>
    <mergeCell ref="AU194:AU195"/>
    <mergeCell ref="AU196:AU197"/>
    <mergeCell ref="AX196:AX197"/>
    <mergeCell ref="AU176:AU178"/>
    <mergeCell ref="AV176:AV178"/>
    <mergeCell ref="AY176:AY178"/>
    <mergeCell ref="AZ176:AZ178"/>
    <mergeCell ref="AV179:AV191"/>
    <mergeCell ref="AR187:AR191"/>
    <mergeCell ref="AR176:AR186"/>
    <mergeCell ref="AS176:AS178"/>
    <mergeCell ref="AT176:AT197"/>
    <mergeCell ref="AW176:AW178"/>
    <mergeCell ref="AR172:AR175"/>
    <mergeCell ref="AS172:AS175"/>
    <mergeCell ref="AV172:AV175"/>
    <mergeCell ref="AY172:AY175"/>
    <mergeCell ref="AZ172:AZ175"/>
    <mergeCell ref="AQ169:AQ171"/>
    <mergeCell ref="AR169:BA169"/>
    <mergeCell ref="AR170:AT170"/>
    <mergeCell ref="AU170:BA170"/>
    <mergeCell ref="AT172:AT175"/>
    <mergeCell ref="AU172:AU173"/>
    <mergeCell ref="AW172:AW175"/>
    <mergeCell ref="BA172:BA175"/>
    <mergeCell ref="AU174:AU175"/>
    <mergeCell ref="AC169:AC171"/>
    <mergeCell ref="AH199:AH202"/>
    <mergeCell ref="AN219:AN228"/>
    <mergeCell ref="AG221:AG224"/>
    <mergeCell ref="AH221:AH224"/>
    <mergeCell ref="AG225:AG228"/>
    <mergeCell ref="AH225:AH228"/>
    <mergeCell ref="AG229:AG232"/>
    <mergeCell ref="AH229:AH232"/>
    <mergeCell ref="AI229:AI232"/>
    <mergeCell ref="AK229:AK232"/>
    <mergeCell ref="AL229:AL232"/>
    <mergeCell ref="AM229:AM232"/>
    <mergeCell ref="AN229:AN232"/>
    <mergeCell ref="AK217:AK218"/>
    <mergeCell ref="AL217:AL218"/>
    <mergeCell ref="AM217:AM218"/>
    <mergeCell ref="AD219:AD232"/>
    <mergeCell ref="AE219:AE232"/>
    <mergeCell ref="AF219:AF232"/>
    <mergeCell ref="AG219:AG220"/>
    <mergeCell ref="AH219:AH220"/>
    <mergeCell ref="AI219:AI228"/>
    <mergeCell ref="AK219:AK228"/>
    <mergeCell ref="AL219:AL228"/>
    <mergeCell ref="AM219:AM228"/>
    <mergeCell ref="AD210:AD211"/>
    <mergeCell ref="AE210:AE211"/>
    <mergeCell ref="AF210:AF211"/>
    <mergeCell ref="AG210:AG211"/>
    <mergeCell ref="AH210:AH211"/>
    <mergeCell ref="AI210:AI218"/>
    <mergeCell ref="AM210:AM212"/>
    <mergeCell ref="AN210:AN212"/>
    <mergeCell ref="AD213:AD216"/>
    <mergeCell ref="AE213:AE216"/>
    <mergeCell ref="AF213:AF216"/>
    <mergeCell ref="AG213:AG214"/>
    <mergeCell ref="AH213:AH214"/>
    <mergeCell ref="AK213:AK214"/>
    <mergeCell ref="AL213:AL214"/>
    <mergeCell ref="AM213:AM216"/>
    <mergeCell ref="AN213:AN218"/>
    <mergeCell ref="AG215:AG216"/>
    <mergeCell ref="AH215:AH216"/>
    <mergeCell ref="AD217:AD218"/>
    <mergeCell ref="AE217:AE218"/>
    <mergeCell ref="AF217:AF218"/>
    <mergeCell ref="AG217:AG218"/>
    <mergeCell ref="AH217:AH218"/>
    <mergeCell ref="AN197:AN202"/>
    <mergeCell ref="AJ202:AJ203"/>
    <mergeCell ref="AD203:AD209"/>
    <mergeCell ref="AE203:AE209"/>
    <mergeCell ref="AF203:AF209"/>
    <mergeCell ref="AG203:AG209"/>
    <mergeCell ref="AK203:AK209"/>
    <mergeCell ref="AL203:AL209"/>
    <mergeCell ref="AM203:AM209"/>
    <mergeCell ref="AN203:AN209"/>
    <mergeCell ref="AH204:AH205"/>
    <mergeCell ref="AH206:AH209"/>
    <mergeCell ref="AD197:AD202"/>
    <mergeCell ref="AE197:AE202"/>
    <mergeCell ref="AF197:AF202"/>
    <mergeCell ref="AG197:AG202"/>
    <mergeCell ref="AI197:AI209"/>
    <mergeCell ref="AJ197:AJ198"/>
    <mergeCell ref="AK197:AK202"/>
    <mergeCell ref="AL197:AL202"/>
    <mergeCell ref="AM197:AM202"/>
    <mergeCell ref="AD192:AD196"/>
    <mergeCell ref="AE192:AE196"/>
    <mergeCell ref="AF192:AF196"/>
    <mergeCell ref="AG192:AG193"/>
    <mergeCell ref="AH192:AH193"/>
    <mergeCell ref="AK192:AK193"/>
    <mergeCell ref="AL192:AL193"/>
    <mergeCell ref="AM192:AM196"/>
    <mergeCell ref="AN192:AN196"/>
    <mergeCell ref="AG194:AG195"/>
    <mergeCell ref="AH194:AH195"/>
    <mergeCell ref="AK194:AK195"/>
    <mergeCell ref="AL194:AL195"/>
    <mergeCell ref="AD187:AD191"/>
    <mergeCell ref="AE187:AE191"/>
    <mergeCell ref="AF187:AF191"/>
    <mergeCell ref="AJ187:AJ188"/>
    <mergeCell ref="AK187:AK188"/>
    <mergeCell ref="AL187:AL188"/>
    <mergeCell ref="AM187:AM191"/>
    <mergeCell ref="AN187:AN191"/>
    <mergeCell ref="AG189:AG191"/>
    <mergeCell ref="AH189:AH191"/>
    <mergeCell ref="AK190:AK191"/>
    <mergeCell ref="AL190:AL191"/>
    <mergeCell ref="AN176:AN186"/>
    <mergeCell ref="AD179:AD186"/>
    <mergeCell ref="AE179:AE186"/>
    <mergeCell ref="AF179:AF186"/>
    <mergeCell ref="AG179:AG180"/>
    <mergeCell ref="AH179:AH180"/>
    <mergeCell ref="AK179:AK183"/>
    <mergeCell ref="AL179:AL183"/>
    <mergeCell ref="AG181:AG182"/>
    <mergeCell ref="AH181:AH182"/>
    <mergeCell ref="AG183:AG186"/>
    <mergeCell ref="AH183:AH186"/>
    <mergeCell ref="AK185:AK186"/>
    <mergeCell ref="AL185:AL186"/>
    <mergeCell ref="AD169:AN169"/>
    <mergeCell ref="AD170:AN170"/>
    <mergeCell ref="AD172:AD175"/>
    <mergeCell ref="AE172:AE175"/>
    <mergeCell ref="AF172:AF175"/>
    <mergeCell ref="AG172:AG173"/>
    <mergeCell ref="AH172:AH173"/>
    <mergeCell ref="AI172:AI196"/>
    <mergeCell ref="AK172:AK173"/>
    <mergeCell ref="AL172:AL173"/>
    <mergeCell ref="AM172:AM175"/>
    <mergeCell ref="AN172:AN175"/>
    <mergeCell ref="AG174:AG175"/>
    <mergeCell ref="AH174:AH175"/>
    <mergeCell ref="AK174:AK175"/>
    <mergeCell ref="AL174:AL175"/>
    <mergeCell ref="AD176:AD178"/>
    <mergeCell ref="AE176:AE178"/>
    <mergeCell ref="AF176:AF178"/>
    <mergeCell ref="AG176:AG178"/>
    <mergeCell ref="AH176:AH178"/>
    <mergeCell ref="AK176:AK177"/>
    <mergeCell ref="AL176:AL177"/>
    <mergeCell ref="AM176:AM186"/>
    <mergeCell ref="C190:C195"/>
    <mergeCell ref="D190:D195"/>
    <mergeCell ref="E190:E195"/>
    <mergeCell ref="F190:F195"/>
    <mergeCell ref="G190:G191"/>
    <mergeCell ref="H190:H195"/>
    <mergeCell ref="I190:I195"/>
    <mergeCell ref="G192:G193"/>
    <mergeCell ref="G194:G195"/>
    <mergeCell ref="C183:F183"/>
    <mergeCell ref="G183:G185"/>
    <mergeCell ref="H183:I183"/>
    <mergeCell ref="J183:J185"/>
    <mergeCell ref="C184:F184"/>
    <mergeCell ref="H184:H185"/>
    <mergeCell ref="I184:I185"/>
    <mergeCell ref="C186:C189"/>
    <mergeCell ref="D186:D189"/>
    <mergeCell ref="E186:E189"/>
    <mergeCell ref="F186:F189"/>
    <mergeCell ref="G186:G187"/>
    <mergeCell ref="H186:H189"/>
    <mergeCell ref="I186:I189"/>
    <mergeCell ref="G188:G189"/>
    <mergeCell ref="E176:E181"/>
    <mergeCell ref="F176:F181"/>
    <mergeCell ref="G176:G177"/>
    <mergeCell ref="I176:I177"/>
    <mergeCell ref="J176:J177"/>
    <mergeCell ref="L176:L177"/>
    <mergeCell ref="M176:M181"/>
    <mergeCell ref="N176:N181"/>
    <mergeCell ref="P176:P181"/>
    <mergeCell ref="G178:G179"/>
    <mergeCell ref="I178:I181"/>
    <mergeCell ref="J178:J181"/>
    <mergeCell ref="L178:L179"/>
    <mergeCell ref="G180:G181"/>
    <mergeCell ref="L180:L181"/>
    <mergeCell ref="B169:B171"/>
    <mergeCell ref="C169:P169"/>
    <mergeCell ref="C170:K170"/>
    <mergeCell ref="L170:P170"/>
    <mergeCell ref="C172:C175"/>
    <mergeCell ref="D172:D175"/>
    <mergeCell ref="E172:E175"/>
    <mergeCell ref="F172:F175"/>
    <mergeCell ref="G172:G173"/>
    <mergeCell ref="I172:I173"/>
    <mergeCell ref="J172:J173"/>
    <mergeCell ref="K172:K181"/>
    <mergeCell ref="L172:L173"/>
    <mergeCell ref="M172:M175"/>
    <mergeCell ref="N172:N175"/>
    <mergeCell ref="P172:P175"/>
    <mergeCell ref="G174:G175"/>
    <mergeCell ref="I174:I175"/>
    <mergeCell ref="J174:J175"/>
    <mergeCell ref="L174:L175"/>
    <mergeCell ref="H175:H176"/>
    <mergeCell ref="O175:O176"/>
    <mergeCell ref="C176:C181"/>
    <mergeCell ref="D176:D181"/>
    <mergeCell ref="AP113:AP114"/>
    <mergeCell ref="AQ113:AQ114"/>
    <mergeCell ref="AR113:AR114"/>
    <mergeCell ref="AG115:AG116"/>
    <mergeCell ref="AR104:AR105"/>
    <mergeCell ref="AG106:AG107"/>
    <mergeCell ref="AG108:AG111"/>
    <mergeCell ref="AH108:AH109"/>
    <mergeCell ref="AI108:AI109"/>
    <mergeCell ref="AK108:AK109"/>
    <mergeCell ref="AL108:AL111"/>
    <mergeCell ref="AM108:AM111"/>
    <mergeCell ref="AN108:AN109"/>
    <mergeCell ref="AR108:AR111"/>
    <mergeCell ref="AH110:AH111"/>
    <mergeCell ref="AI110:AI112"/>
    <mergeCell ref="AJ110:AJ112"/>
    <mergeCell ref="AK110:AK112"/>
    <mergeCell ref="AN110:AN112"/>
    <mergeCell ref="AP110:AP111"/>
    <mergeCell ref="AQ110:AQ111"/>
    <mergeCell ref="AG112:AG114"/>
    <mergeCell ref="AL112:AL116"/>
    <mergeCell ref="AM112:AM116"/>
    <mergeCell ref="AO112:AO116"/>
    <mergeCell ref="AH113:AH114"/>
    <mergeCell ref="AI113:AI114"/>
    <mergeCell ref="AJ113:AJ114"/>
    <mergeCell ref="AG103:AG105"/>
    <mergeCell ref="AJ103:AJ109"/>
    <mergeCell ref="AL103:AL107"/>
    <mergeCell ref="AM103:AM107"/>
    <mergeCell ref="AO103:AO111"/>
    <mergeCell ref="AK113:AK114"/>
    <mergeCell ref="AN113:AN114"/>
    <mergeCell ref="AP103:AP109"/>
    <mergeCell ref="AQ103:AQ109"/>
    <mergeCell ref="AH104:AH105"/>
    <mergeCell ref="AI104:AI105"/>
    <mergeCell ref="AK104:AK105"/>
    <mergeCell ref="AN104:AN105"/>
    <mergeCell ref="AG91:AG94"/>
    <mergeCell ref="AH91:AH92"/>
    <mergeCell ref="AI91:AI92"/>
    <mergeCell ref="AK91:AK92"/>
    <mergeCell ref="AN91:AN92"/>
    <mergeCell ref="AJ95:AJ102"/>
    <mergeCell ref="AL95:AL102"/>
    <mergeCell ref="AM95:AM102"/>
    <mergeCell ref="AP95:AP102"/>
    <mergeCell ref="AQ95:AQ102"/>
    <mergeCell ref="AH93:AH94"/>
    <mergeCell ref="AI93:AI98"/>
    <mergeCell ref="AK93:AK97"/>
    <mergeCell ref="AN93:AN97"/>
    <mergeCell ref="AR95:AR97"/>
    <mergeCell ref="AG99:AG102"/>
    <mergeCell ref="AH99:AH100"/>
    <mergeCell ref="AK99:AK100"/>
    <mergeCell ref="AN99:AN100"/>
    <mergeCell ref="AR99:AR100"/>
    <mergeCell ref="AL87:AL94"/>
    <mergeCell ref="AM87:AM94"/>
    <mergeCell ref="AN87:AN88"/>
    <mergeCell ref="AO87:AO102"/>
    <mergeCell ref="AP87:AP94"/>
    <mergeCell ref="AQ87:AQ94"/>
    <mergeCell ref="AR87:AR88"/>
    <mergeCell ref="AH89:AH90"/>
    <mergeCell ref="AI89:AI90"/>
    <mergeCell ref="AK89:AK90"/>
    <mergeCell ref="AN89:AN90"/>
    <mergeCell ref="AR89:AR90"/>
    <mergeCell ref="AH101:AH102"/>
    <mergeCell ref="AI101:AI103"/>
    <mergeCell ref="AK101:AK103"/>
    <mergeCell ref="AN101:AN103"/>
    <mergeCell ref="AR101:AR102"/>
    <mergeCell ref="AR91:AR92"/>
    <mergeCell ref="AG78:AG80"/>
    <mergeCell ref="AM78:AM80"/>
    <mergeCell ref="AR78:AR80"/>
    <mergeCell ref="AG81:AG83"/>
    <mergeCell ref="AJ81:AJ94"/>
    <mergeCell ref="AK81:AK83"/>
    <mergeCell ref="AM81:AM83"/>
    <mergeCell ref="AN81:AN83"/>
    <mergeCell ref="AP81:AP83"/>
    <mergeCell ref="AQ81:AQ83"/>
    <mergeCell ref="AR81:AR83"/>
    <mergeCell ref="AG84:AG85"/>
    <mergeCell ref="AH84:AH85"/>
    <mergeCell ref="AK84:AK86"/>
    <mergeCell ref="AL84:AL86"/>
    <mergeCell ref="AM84:AM86"/>
    <mergeCell ref="AN84:AN86"/>
    <mergeCell ref="AP84:AP86"/>
    <mergeCell ref="AQ84:AQ86"/>
    <mergeCell ref="AR84:AR85"/>
    <mergeCell ref="AG87:AG90"/>
    <mergeCell ref="AK87:AK88"/>
    <mergeCell ref="AI76:AI80"/>
    <mergeCell ref="AJ76:AJ80"/>
    <mergeCell ref="AK76:AK80"/>
    <mergeCell ref="AL76:AL83"/>
    <mergeCell ref="AM76:AM77"/>
    <mergeCell ref="AN76:AN80"/>
    <mergeCell ref="AO76:AO86"/>
    <mergeCell ref="AR93:AR94"/>
    <mergeCell ref="AR76:AR77"/>
    <mergeCell ref="AP76:AP80"/>
    <mergeCell ref="AQ76:AQ80"/>
    <mergeCell ref="C74:C77"/>
    <mergeCell ref="F75:F76"/>
    <mergeCell ref="G75:G76"/>
    <mergeCell ref="H75:H77"/>
    <mergeCell ref="I75:I77"/>
    <mergeCell ref="J75:J76"/>
    <mergeCell ref="C67:C70"/>
    <mergeCell ref="D67:G67"/>
    <mergeCell ref="D68:G68"/>
    <mergeCell ref="D69:G69"/>
    <mergeCell ref="H67:N69"/>
    <mergeCell ref="C71:C72"/>
    <mergeCell ref="J79:J81"/>
    <mergeCell ref="H80:H83"/>
    <mergeCell ref="I80:I83"/>
    <mergeCell ref="N80:N83"/>
    <mergeCell ref="F81:F83"/>
    <mergeCell ref="G81:G83"/>
    <mergeCell ref="L81:L83"/>
    <mergeCell ref="M81:M83"/>
    <mergeCell ref="K75:K76"/>
    <mergeCell ref="L75:L76"/>
    <mergeCell ref="M75:M76"/>
    <mergeCell ref="N75:N76"/>
    <mergeCell ref="G78:G79"/>
    <mergeCell ref="H78:H79"/>
    <mergeCell ref="I78:I79"/>
    <mergeCell ref="L78:L79"/>
    <mergeCell ref="M78:M79"/>
    <mergeCell ref="N78:N79"/>
    <mergeCell ref="M84:M87"/>
    <mergeCell ref="N84:N87"/>
    <mergeCell ref="K88:K89"/>
    <mergeCell ref="L88:L91"/>
    <mergeCell ref="M88:M91"/>
    <mergeCell ref="N88:N91"/>
    <mergeCell ref="B82:B83"/>
    <mergeCell ref="D82:D83"/>
    <mergeCell ref="E82:E83"/>
    <mergeCell ref="J82:J85"/>
    <mergeCell ref="K82:K83"/>
    <mergeCell ref="B84:B85"/>
    <mergeCell ref="D84:D85"/>
    <mergeCell ref="E84:E85"/>
    <mergeCell ref="F84:F87"/>
    <mergeCell ref="G84:G87"/>
    <mergeCell ref="B86:B87"/>
    <mergeCell ref="D86:D87"/>
    <mergeCell ref="E86:E87"/>
    <mergeCell ref="J86:J87"/>
    <mergeCell ref="K86:K87"/>
    <mergeCell ref="L86:L87"/>
    <mergeCell ref="H84:H92"/>
    <mergeCell ref="I84:I96"/>
    <mergeCell ref="K84:K85"/>
    <mergeCell ref="L84:L85"/>
    <mergeCell ref="B88:B89"/>
    <mergeCell ref="D88:D89"/>
    <mergeCell ref="E88:E89"/>
    <mergeCell ref="F88:F91"/>
    <mergeCell ref="G88:G91"/>
    <mergeCell ref="J88:J89"/>
    <mergeCell ref="B90:B91"/>
    <mergeCell ref="D90:D91"/>
    <mergeCell ref="E90:E91"/>
    <mergeCell ref="J90:J91"/>
    <mergeCell ref="L92:L95"/>
    <mergeCell ref="M92:M95"/>
    <mergeCell ref="N92:N95"/>
    <mergeCell ref="B94:B95"/>
    <mergeCell ref="J94:J95"/>
    <mergeCell ref="K94:K95"/>
    <mergeCell ref="K90:K91"/>
    <mergeCell ref="B92:B93"/>
    <mergeCell ref="F92:F95"/>
    <mergeCell ref="G92:G95"/>
    <mergeCell ref="J92:J93"/>
    <mergeCell ref="K92:K93"/>
    <mergeCell ref="N98:N101"/>
    <mergeCell ref="M96:M97"/>
    <mergeCell ref="N96:N97"/>
    <mergeCell ref="H97:H101"/>
    <mergeCell ref="I97:I101"/>
    <mergeCell ref="B98:B100"/>
    <mergeCell ref="D98:D100"/>
    <mergeCell ref="E98:E100"/>
    <mergeCell ref="F98:F101"/>
    <mergeCell ref="G98:G101"/>
    <mergeCell ref="M98:M101"/>
    <mergeCell ref="B96:B97"/>
    <mergeCell ref="F96:F97"/>
    <mergeCell ref="G96:G97"/>
    <mergeCell ref="J96:J100"/>
    <mergeCell ref="K96:K100"/>
    <mergeCell ref="L96:L101"/>
    <mergeCell ref="R67:R68"/>
    <mergeCell ref="S67:S68"/>
    <mergeCell ref="T67:AC67"/>
    <mergeCell ref="S69:S70"/>
    <mergeCell ref="T69:T71"/>
    <mergeCell ref="AA69:AA71"/>
    <mergeCell ref="AB69:AB71"/>
    <mergeCell ref="T72:T75"/>
    <mergeCell ref="W72:W74"/>
    <mergeCell ref="AB72:AB75"/>
    <mergeCell ref="Z73:Z74"/>
    <mergeCell ref="AC73:AC74"/>
    <mergeCell ref="V72:V74"/>
    <mergeCell ref="AA72:AA75"/>
    <mergeCell ref="X73:X74"/>
    <mergeCell ref="Y73:Y74"/>
    <mergeCell ref="S72:S75"/>
    <mergeCell ref="U79:U81"/>
    <mergeCell ref="X79:X81"/>
    <mergeCell ref="T76:T77"/>
    <mergeCell ref="U76:U77"/>
    <mergeCell ref="V76:V77"/>
    <mergeCell ref="W76:W77"/>
    <mergeCell ref="X76:X77"/>
    <mergeCell ref="Y76:Y77"/>
    <mergeCell ref="Y79:Y81"/>
    <mergeCell ref="S96:S98"/>
    <mergeCell ref="AA90:AA96"/>
    <mergeCell ref="AB90:AB96"/>
    <mergeCell ref="AC90:AC93"/>
    <mergeCell ref="R92:R93"/>
    <mergeCell ref="R94:R95"/>
    <mergeCell ref="X94:X96"/>
    <mergeCell ref="R80:R81"/>
    <mergeCell ref="R82:R83"/>
    <mergeCell ref="T82:T89"/>
    <mergeCell ref="U82:U85"/>
    <mergeCell ref="W82:W85"/>
    <mergeCell ref="X82:X85"/>
    <mergeCell ref="Y82:Y85"/>
    <mergeCell ref="Z82:Z85"/>
    <mergeCell ref="AA82:AA89"/>
    <mergeCell ref="X86:X89"/>
    <mergeCell ref="Y86:Y89"/>
    <mergeCell ref="Z86:Z89"/>
    <mergeCell ref="S80:S81"/>
    <mergeCell ref="T78:T81"/>
    <mergeCell ref="V78:V81"/>
    <mergeCell ref="W78:W81"/>
    <mergeCell ref="AA78:AA81"/>
    <mergeCell ref="C82:C83"/>
    <mergeCell ref="AM73:AM74"/>
    <mergeCell ref="AN73:AN74"/>
    <mergeCell ref="AB82:AB89"/>
    <mergeCell ref="AC82:AC85"/>
    <mergeCell ref="R84:R85"/>
    <mergeCell ref="V85:V86"/>
    <mergeCell ref="R86:R87"/>
    <mergeCell ref="U86:U89"/>
    <mergeCell ref="W86:W89"/>
    <mergeCell ref="AC86:AC89"/>
    <mergeCell ref="R88:R89"/>
    <mergeCell ref="V89:V90"/>
    <mergeCell ref="R90:R91"/>
    <mergeCell ref="T90:T95"/>
    <mergeCell ref="W90:W94"/>
    <mergeCell ref="Y90:Y93"/>
    <mergeCell ref="Z90:Z93"/>
    <mergeCell ref="X90:X93"/>
    <mergeCell ref="W95:W96"/>
    <mergeCell ref="R96:R98"/>
    <mergeCell ref="T96:T99"/>
    <mergeCell ref="U96:U99"/>
    <mergeCell ref="V97:V98"/>
    <mergeCell ref="Y94:Y96"/>
    <mergeCell ref="Z94:Z99"/>
    <mergeCell ref="AA97:AA99"/>
    <mergeCell ref="AB97:AB99"/>
    <mergeCell ref="AC97:AC99"/>
    <mergeCell ref="AC94:AC96"/>
    <mergeCell ref="V95:V96"/>
    <mergeCell ref="AG67:AG68"/>
    <mergeCell ref="AH67:AH68"/>
    <mergeCell ref="W97:W98"/>
    <mergeCell ref="X97:X99"/>
    <mergeCell ref="Y97:Y99"/>
    <mergeCell ref="Z76:Z77"/>
    <mergeCell ref="AA76:AA77"/>
    <mergeCell ref="AB76:AB77"/>
    <mergeCell ref="AC76:AC77"/>
    <mergeCell ref="Z79:Z81"/>
    <mergeCell ref="AB79:AB81"/>
    <mergeCell ref="AC79:AC81"/>
    <mergeCell ref="AG76:AG77"/>
    <mergeCell ref="AH76:AH77"/>
    <mergeCell ref="AG95:AG98"/>
    <mergeCell ref="AH87:AH88"/>
    <mergeCell ref="AH95:AH97"/>
    <mergeCell ref="AI67:AQ67"/>
    <mergeCell ref="AO69:AO70"/>
    <mergeCell ref="AL70:AL71"/>
    <mergeCell ref="AO71:AO72"/>
    <mergeCell ref="AI72:AI74"/>
    <mergeCell ref="AJ72:AJ74"/>
    <mergeCell ref="AK73:AK74"/>
    <mergeCell ref="AL73:AL74"/>
    <mergeCell ref="AH69:AH70"/>
    <mergeCell ref="AQ73:AQ74"/>
    <mergeCell ref="AO73:AO75"/>
    <mergeCell ref="AP73:AP74"/>
  </mergeCells>
  <pageMargins left="0.7" right="0.7" top="0.75" bottom="0.75" header="0.3" footer="0.3"/>
  <pageSetup paperSize="9" orientation="portrait" horizontalDpi="4294967293" verticalDpi="0" r:id="rId1"/>
  <drawing r:id="rId2"/>
  <legacyDrawing r:id="rId3"/>
  <oleObjects>
    <oleObject progId="Equation.DSMT4" shapeId="3081" r:id="rId4"/>
    <oleObject progId="Equation.DSMT4" shapeId="3083" r:id="rId5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5</vt:i4>
      </vt:variant>
      <vt:variant>
        <vt:lpstr>Именованные диапазоны</vt:lpstr>
      </vt:variant>
      <vt:variant>
        <vt:i4>1</vt:i4>
      </vt:variant>
    </vt:vector>
  </HeadingPairs>
  <TitlesOfParts>
    <vt:vector size="6" baseType="lpstr">
      <vt:lpstr>Раздел (1-11)</vt:lpstr>
      <vt:lpstr>Расчет пазов</vt:lpstr>
      <vt:lpstr>Рабочие и пусковые</vt:lpstr>
      <vt:lpstr>ГОСТ 8338 - 75</vt:lpstr>
      <vt:lpstr>Корпус и обмотка</vt:lpstr>
      <vt:lpstr>Раздел_7_Параметры_рабочего_режима_двигателя</vt:lpstr>
    </vt:vector>
  </TitlesOfParts>
  <Company>Microsoft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student</dc:creator>
  <cp:lastModifiedBy>volpo</cp:lastModifiedBy>
  <dcterms:created xsi:type="dcterms:W3CDTF">2019-04-23T06:12:40Z</dcterms:created>
  <dcterms:modified xsi:type="dcterms:W3CDTF">2019-11-28T21:13:19Z</dcterms:modified>
</cp:coreProperties>
</file>